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updateLinks="never" codeName="ThisWorkbook" defaultThemeVersion="124226"/>
  <mc:AlternateContent xmlns:mc="http://schemas.openxmlformats.org/markup-compatibility/2006">
    <mc:Choice Requires="x15">
      <x15ac:absPath xmlns:x15ac="http://schemas.microsoft.com/office/spreadsheetml/2010/11/ac" url="https://laguadeloupe-my.sharepoint.com/personal/mbecmont_regionguadeloupe_fr/Documents/PARTAGE EY - SGPP/DSGC FEADER 23-27/0. Travaux EY 25-26/1. Livrables/2. A destination du porteur/Interventions/73.01/"/>
    </mc:Choice>
  </mc:AlternateContent>
  <xr:revisionPtr revIDLastSave="0" documentId="8_{2A029A0F-126C-47DA-A207-F536E23C73BB}" xr6:coauthVersionLast="47" xr6:coauthVersionMax="47" xr10:uidLastSave="{00000000-0000-0000-0000-000000000000}"/>
  <bookViews>
    <workbookView xWindow="0" yWindow="660" windowWidth="29400" windowHeight="18460" tabRatio="703" firstSheet="2" activeTab="2" xr2:uid="{4BE93CBF-7E4E-4187-BB02-E7C4FA4B0F62}"/>
  </bookViews>
  <sheets>
    <sheet name="Accueil" sheetId="45" r:id="rId1"/>
    <sheet name="0-Présentation typeaction" sheetId="51" r:id="rId2"/>
    <sheet name="1-Investissements" sheetId="55" r:id="rId3"/>
    <sheet name="2-Frais généraux" sheetId="67" r:id="rId4"/>
    <sheet name="3-Contributions en nature" sheetId="69" r:id="rId5"/>
    <sheet name="4-Amortissement" sheetId="70" r:id="rId6"/>
    <sheet name="5-Tx forf personnel+autoconst" sheetId="71" r:id="rId7"/>
    <sheet name="6-Coût unitaire bananes" sheetId="72" r:id="rId8"/>
    <sheet name="7-Coût unitaire cannes à sucre" sheetId="73" r:id="rId9"/>
    <sheet name="Liste des MP" sheetId="78" r:id="rId10"/>
    <sheet name="Syn pf Bénéficiaire" sheetId="31" r:id="rId11"/>
    <sheet name="Syn pf Instructeur" sheetId="48" r:id="rId12"/>
    <sheet name="Annexe fi DJ" sheetId="77" r:id="rId13"/>
  </sheets>
  <definedNames>
    <definedName name="à_choisir_dans_le_menu_déroulant" localSheetId="11">#REF!</definedName>
    <definedName name="à_choisir_dans_le_menu_déroulant">#REF!</definedName>
    <definedName name="P.Z.Gestion_de_la_feuille" localSheetId="11">#REF!</definedName>
    <definedName name="P.Z.Gestion_de_la_feuille">#REF!</definedName>
    <definedName name="P_Z_0_B_COLONNE_COMMENTAIRE_SI_INDICATION_STANDARD" localSheetId="11">#REF!</definedName>
    <definedName name="P_Z_0_B_COLONNE_COMMENTAIRE_SI_INDICATION_STANDARD">#REF!</definedName>
    <definedName name="P_Z_0_B_COLONNE_COMMENTAIRE_SI_LIBELLE_STANDARD" localSheetId="11">#REF!</definedName>
    <definedName name="P_Z_0_B_COLONNE_COMMENTAIRE_SI_LIBELLE_STANDARD">#REF!</definedName>
    <definedName name="P_Z_0_B_COLONNE_MOTIFS_INELIGIBILITE_INDICATION_STANDARD" localSheetId="11">#REF!</definedName>
    <definedName name="P_Z_0_B_COLONNE_MOTIFS_INELIGIBILITE_INDICATION_STANDARD">#REF!</definedName>
    <definedName name="P_Z_0_B_COLONNE_MOTIFS_INELIGIBILITE_LIBELLE_STANDARD" localSheetId="11">#REF!</definedName>
    <definedName name="P_Z_0_B_COLONNE_MOTIFS_INELIGIBILITE_LIBELLE_STANDARD">#REF!</definedName>
    <definedName name="P_Z_0_B_COLONNE_MT_ELIGIBLE_LIBELLE_STANDARD" localSheetId="11">#REF!</definedName>
    <definedName name="P_Z_0_B_COLONNE_MT_ELIGIBLE_LIBELLE_STANDARD">#REF!</definedName>
    <definedName name="P_Z_0_B_COLONNE_MT_INELIGIBLE_LIBELLE_STANDARD" localSheetId="11">#REF!</definedName>
    <definedName name="P_Z_0_B_COLONNE_MT_INELIGIBLE_LIBELLE_STANDARD">#REF!</definedName>
    <definedName name="P_Z_0_B_COLONNE_MT_MAX_LIBELLE_STANDARD" localSheetId="11">#REF!</definedName>
    <definedName name="P_Z_0_B_COLONNE_MT_MAX_LIBELLE_STANDARD">#REF!</definedName>
    <definedName name="P_Z_0_B_COLONNE_MT_PRES_HT_INDICATION_STANDARD" localSheetId="11">#REF!</definedName>
    <definedName name="P_Z_0_B_COLONNE_MT_PRES_HT_INDICATION_STANDARD">#REF!</definedName>
    <definedName name="P_Z_0_B_COLONNE_MT_PRES_HT_LIBELLE_STANDARD" localSheetId="11">#REF!</definedName>
    <definedName name="P_Z_0_B_COLONNE_MT_PRES_HT_LIBELLE_STANDARD">#REF!</definedName>
    <definedName name="P_Z_0_B_COLONNE_MT_PRES_INDICATION_STANDARD" localSheetId="11">#REF!</definedName>
    <definedName name="P_Z_0_B_COLONNE_MT_PRES_INDICATION_STANDARD">#REF!</definedName>
    <definedName name="P_Z_0_B_COLONNE_MT_PRES_LIBELLE_STANDARD" localSheetId="11">#REF!</definedName>
    <definedName name="P_Z_0_B_COLONNE_MT_PRES_LIBELLE_STANDARD">#REF!</definedName>
    <definedName name="P_Z_0_B_COLONNE_MT_PRES_TVA_INDICATION_STANDARD" localSheetId="11">#REF!</definedName>
    <definedName name="P_Z_0_B_COLONNE_MT_PRES_TVA_INDICATION_STANDARD">#REF!</definedName>
    <definedName name="P_Z_0_B_COLONNE_MT_PRES_TVA_LIBELLE_STANDARD" localSheetId="11">#REF!</definedName>
    <definedName name="P_Z_0_B_COLONNE_MT_PRES_TVA_LIBELLE_STANDARD">#REF!</definedName>
    <definedName name="P_Z_0_B_COLONNE_MT_RAISONNABLE_LIBELLE_STANDARD" localSheetId="11">#REF!</definedName>
    <definedName name="P_Z_0_B_COLONNE_MT_RAISONNABLE_LIBELLE_STANDARD">#REF!</definedName>
    <definedName name="P_Z_0_B_COLONNE_POSTE_INDICATION_STANDARD" localSheetId="11">#REF!</definedName>
    <definedName name="P_Z_0_B_COLONNE_POSTE_INDICATION_STANDARD">#REF!</definedName>
    <definedName name="P_Z_0_B_COLONNE_POSTE_LIBELLE_STANDARD" localSheetId="11">#REF!</definedName>
    <definedName name="P_Z_0_B_COLONNE_POSTE_LIBELLE_STANDARD">#REF!</definedName>
    <definedName name="P_Z_0_B_COLONNE_SOUS_OPERATION_INDICATION_STANDARD" localSheetId="11">#REF!</definedName>
    <definedName name="P_Z_0_B_COLONNE_SOUS_OPERATION_INDICATION_STANDARD">#REF!</definedName>
    <definedName name="P_Z_0_B_COLONNE_SOUS_OPERATION_LIBELLE_STANDARD" localSheetId="11">#REF!</definedName>
    <definedName name="P_Z_0_B_COLONNE_SOUS_OPERATION_LIBELLE_STANDARD">#REF!</definedName>
    <definedName name="P_Z_0_B_COLONNES_MARCHE_2_DEVIS" localSheetId="11">#REF!</definedName>
    <definedName name="P_Z_0_B_COLONNES_MARCHE_2_DEVIS">#REF!</definedName>
    <definedName name="P_Z_0_B_COLONNES_MARCHE_3_DEVIS" localSheetId="11">#REF!</definedName>
    <definedName name="P_Z_0_B_COLONNES_MARCHE_3_DEVIS">#REF!</definedName>
    <definedName name="P_Z_0_B_UTILISATION_COUT_RAISONNABLE" localSheetId="11">#REF!</definedName>
    <definedName name="P_Z_0_B_UTILISATION_COUT_RAISONNABLE">#REF!</definedName>
    <definedName name="P_Z_0_B_UTILISATION_LIBELLES_DESCRIPTIONS" localSheetId="11">#REF!</definedName>
    <definedName name="P_Z_0_B_UTILISATION_LIBELLES_DESCRIPTIONS">#REF!</definedName>
    <definedName name="P_Z_0_B_UTILISATION_MT_MAX" localSheetId="11">#REF!</definedName>
    <definedName name="P_Z_0_B_UTILISATION_MT_MAX">#REF!</definedName>
    <definedName name="P_Z_0_B_UTILISATION_SOUS_OPERATIONS" localSheetId="11">#REF!</definedName>
    <definedName name="P_Z_0_B_UTILISATION_SOUS_OPERATIONS">#REF!</definedName>
    <definedName name="P_Z_0_B_UTILISATION_TVA" localSheetId="11">#REF!</definedName>
    <definedName name="P_Z_0_B_UTILISATION_TVA">#REF!</definedName>
    <definedName name="P_Z_0_N_COLONNE_COMMENTAIRE_SI_INDICATION_DEFAUT" localSheetId="11">#REF!</definedName>
    <definedName name="P_Z_0_N_COLONNE_COMMENTAIRE_SI_INDICATION_DEFAUT">#REF!</definedName>
    <definedName name="P_Z_0_N_COLONNE_COMMENTAIRE_SI_INDICATION_STANDARD" localSheetId="11">#REF!</definedName>
    <definedName name="P_Z_0_N_COLONNE_COMMENTAIRE_SI_INDICATION_STANDARD">#REF!</definedName>
    <definedName name="P_Z_0_N_COLONNE_COMMENTAIRE_SI_LIBELLE_DEFAUT" localSheetId="11">#REF!</definedName>
    <definedName name="P_Z_0_N_COLONNE_COMMENTAIRE_SI_LIBELLE_DEFAUT">#REF!</definedName>
    <definedName name="P_Z_0_N_COLONNE_COMMENTAIRE_SI_LIBELLE_STANDARD" localSheetId="11">#REF!</definedName>
    <definedName name="P_Z_0_N_COLONNE_COMMENTAIRE_SI_LIBELLE_STANDARD">#REF!</definedName>
    <definedName name="P_Z_0_N_COLONNE_MOTIFS_INELIGIBILITE_INDICATION_DEFAUT" localSheetId="11">#REF!</definedName>
    <definedName name="P_Z_0_N_COLONNE_MOTIFS_INELIGIBILITE_INDICATION_DEFAUT">#REF!</definedName>
    <definedName name="P_Z_0_N_COLONNE_MOTIFS_INELIGIBILITE_INDICATION_STANDARD" localSheetId="11">#REF!</definedName>
    <definedName name="P_Z_0_N_COLONNE_MOTIFS_INELIGIBILITE_INDICATION_STANDARD">#REF!</definedName>
    <definedName name="P_Z_0_N_COLONNE_MOTIFS_INELIGIBILITE_LIBELLE_DEFAUT" localSheetId="11">#REF!</definedName>
    <definedName name="P_Z_0_N_COLONNE_MOTIFS_INELIGIBILITE_LIBELLE_DEFAUT">#REF!</definedName>
    <definedName name="P_Z_0_N_COLONNE_MOTIFS_INELIGIBILITE_LIBELLE_STANDARD" localSheetId="11">#REF!</definedName>
    <definedName name="P_Z_0_N_COLONNE_MOTIFS_INELIGIBILITE_LIBELLE_STANDARD">#REF!</definedName>
    <definedName name="P_Z_0_N_COLONNE_MT_ELIGIBLE_LIBELLE_DEFAUT" localSheetId="11">#REF!</definedName>
    <definedName name="P_Z_0_N_COLONNE_MT_ELIGIBLE_LIBELLE_DEFAUT">#REF!</definedName>
    <definedName name="P_Z_0_N_COLONNE_MT_ELIGIBLE_LIBELLE_STANDARD" localSheetId="11">#REF!</definedName>
    <definedName name="P_Z_0_N_COLONNE_MT_ELIGIBLE_LIBELLE_STANDARD">#REF!</definedName>
    <definedName name="P_Z_0_N_COLONNE_MT_INELIGIBLE_LIBELLE_DEFAUT" localSheetId="11">#REF!</definedName>
    <definedName name="P_Z_0_N_COLONNE_MT_INELIGIBLE_LIBELLE_DEFAUT">#REF!</definedName>
    <definedName name="P_Z_0_N_COLONNE_MT_INELIGIBLE_LIBELLE_STANDARD" localSheetId="11">#REF!</definedName>
    <definedName name="P_Z_0_N_COLONNE_MT_INELIGIBLE_LIBELLE_STANDARD">#REF!</definedName>
    <definedName name="P_Z_0_N_COLONNE_MT_MAX_LIBELLE_DEFAUT" localSheetId="11">#REF!</definedName>
    <definedName name="P_Z_0_N_COLONNE_MT_MAX_LIBELLE_DEFAUT">#REF!</definedName>
    <definedName name="P_Z_0_N_COLONNE_MT_MAX_LIBELLE_STANDARD" localSheetId="11">#REF!</definedName>
    <definedName name="P_Z_0_N_COLONNE_MT_MAX_LIBELLE_STANDARD">#REF!</definedName>
    <definedName name="P_Z_0_N_COLONNE_MT_PRES_HT_INDICATION_DEFAUT" localSheetId="11">#REF!</definedName>
    <definedName name="P_Z_0_N_COLONNE_MT_PRES_HT_INDICATION_DEFAUT">#REF!</definedName>
    <definedName name="P_Z_0_N_COLONNE_MT_PRES_HT_INDICATION_STANDARD" localSheetId="11">#REF!</definedName>
    <definedName name="P_Z_0_N_COLONNE_MT_PRES_HT_INDICATION_STANDARD">#REF!</definedName>
    <definedName name="P_Z_0_N_COLONNE_MT_PRES_HT_LIBELLE_DEFAUT" localSheetId="11">#REF!</definedName>
    <definedName name="P_Z_0_N_COLONNE_MT_PRES_HT_LIBELLE_DEFAUT">#REF!</definedName>
    <definedName name="P_Z_0_N_COLONNE_MT_PRES_HT_LIBELLE_STANDARD" localSheetId="11">#REF!</definedName>
    <definedName name="P_Z_0_N_COLONNE_MT_PRES_HT_LIBELLE_STANDARD">#REF!</definedName>
    <definedName name="P_Z_0_N_COLONNE_MT_PRES_INDICATION_DEFAUT" localSheetId="11">#REF!</definedName>
    <definedName name="P_Z_0_N_COLONNE_MT_PRES_INDICATION_DEFAUT">#REF!</definedName>
    <definedName name="P_Z_0_N_COLONNE_MT_PRES_INDICATION_STANDARD" localSheetId="11">#REF!</definedName>
    <definedName name="P_Z_0_N_COLONNE_MT_PRES_INDICATION_STANDARD">#REF!</definedName>
    <definedName name="P_Z_0_N_COLONNE_MT_PRES_LIBELLE_DEFAUT" localSheetId="11">#REF!</definedName>
    <definedName name="P_Z_0_N_COLONNE_MT_PRES_LIBELLE_DEFAUT">#REF!</definedName>
    <definedName name="P_Z_0_N_COLONNE_MT_PRES_LIBELLE_STANDARD" localSheetId="11">#REF!</definedName>
    <definedName name="P_Z_0_N_COLONNE_MT_PRES_LIBELLE_STANDARD">#REF!</definedName>
    <definedName name="P_Z_0_N_COLONNE_MT_PRES_TVA_INDICATION_DEFAUT" localSheetId="11">#REF!</definedName>
    <definedName name="P_Z_0_N_COLONNE_MT_PRES_TVA_INDICATION_DEFAUT">#REF!</definedName>
    <definedName name="P_Z_0_N_COLONNE_MT_PRES_TVA_INDICATION_STANDARD" localSheetId="11">#REF!</definedName>
    <definedName name="P_Z_0_N_COLONNE_MT_PRES_TVA_INDICATION_STANDARD">#REF!</definedName>
    <definedName name="P_Z_0_N_COLONNE_MT_PRES_TVA_LIBELLE_DEFAUT" localSheetId="11">#REF!</definedName>
    <definedName name="P_Z_0_N_COLONNE_MT_PRES_TVA_LIBELLE_DEFAUT">#REF!</definedName>
    <definedName name="P_Z_0_N_COLONNE_MT_PRES_TVA_LIBELLE_STANDARD" localSheetId="11">#REF!</definedName>
    <definedName name="P_Z_0_N_COLONNE_MT_PRES_TVA_LIBELLE_STANDARD">#REF!</definedName>
    <definedName name="P_Z_0_N_COLONNE_MT_RAISONNABLE_DEFAUT" localSheetId="11">#REF!</definedName>
    <definedName name="P_Z_0_N_COLONNE_MT_RAISONNABLE_DEFAUT">#REF!</definedName>
    <definedName name="P_Z_0_N_COLONNE_MT_RAISONNABLE_STANDARD" localSheetId="11">#REF!</definedName>
    <definedName name="P_Z_0_N_COLONNE_MT_RAISONNABLE_STANDARD">#REF!</definedName>
    <definedName name="P_Z_0_N_COLONNE_POSTE_INDICATION_DEFAUT" localSheetId="11">#REF!</definedName>
    <definedName name="P_Z_0_N_COLONNE_POSTE_INDICATION_DEFAUT">#REF!</definedName>
    <definedName name="P_Z_0_N_COLONNE_POSTE_INDICATION_STANDARD" localSheetId="11">#REF!</definedName>
    <definedName name="P_Z_0_N_COLONNE_POSTE_INDICATION_STANDARD">#REF!</definedName>
    <definedName name="P_Z_0_N_COLONNE_POSTE_LIBELLE_DEFAUT" localSheetId="11">#REF!</definedName>
    <definedName name="P_Z_0_N_COLONNE_POSTE_LIBELLE_DEFAUT">#REF!</definedName>
    <definedName name="P_Z_0_N_COLONNE_POSTE_LIBELLE_STANDARD" localSheetId="11">#REF!</definedName>
    <definedName name="P_Z_0_N_COLONNE_POSTE_LIBELLE_STANDARD">#REF!</definedName>
    <definedName name="P_Z_0_N_COLONNE_SOUS_OPERATION_INDICATION_DEFAUT" localSheetId="11">#REF!</definedName>
    <definedName name="P_Z_0_N_COLONNE_SOUS_OPERATION_INDICATION_DEFAUT">#REF!</definedName>
    <definedName name="P_Z_0_N_COLONNE_SOUS_OPERATION_INDICATION_STANDARD" localSheetId="11">#REF!</definedName>
    <definedName name="P_Z_0_N_COLONNE_SOUS_OPERATION_INDICATION_STANDARD">#REF!</definedName>
    <definedName name="P_Z_0_N_COLONNE_SOUS_OPERATION_LIBELLE_DEFAUT" localSheetId="11">#REF!</definedName>
    <definedName name="P_Z_0_N_COLONNE_SOUS_OPERATION_LIBELLE_DEFAUT">#REF!</definedName>
    <definedName name="P_Z_0_N_COLONNE_SOUS_OPERATION_LIBELLE_STANDARD" localSheetId="11">#REF!</definedName>
    <definedName name="P_Z_0_N_COLONNE_SOUS_OPERATION_LIBELLE_STANDARD">#REF!</definedName>
    <definedName name="P_Z_0_N_COLONNES_MARCHE_2_DEVIS_SEUIL" localSheetId="11">#REF!</definedName>
    <definedName name="P_Z_0_N_COLONNES_MARCHE_2_DEVIS_SEUIL">#REF!</definedName>
    <definedName name="P_Z_0_N_COLONNES_MARCHE_3_DEVIS_SEUIL" localSheetId="11">#REF!</definedName>
    <definedName name="P_Z_0_N_COLONNES_MARCHE_3_DEVIS_SEUIL">#REF!</definedName>
    <definedName name="P_Z_0_R_LIBELLES_DESCRIPTIONS" localSheetId="11">#REF!</definedName>
    <definedName name="P_Z_0_R_LIBELLES_DESCRIPTIONS">#REF!</definedName>
    <definedName name="P_Z_0_R_LIBELLES_DESCRIPTIONS_1" localSheetId="11">#REF!</definedName>
    <definedName name="P_Z_0_R_LIBELLES_DESCRIPTIONS_1">#REF!</definedName>
    <definedName name="P_Z_0_R_LIBELLES_DESCRIPTIONS_10" localSheetId="11">#REF!</definedName>
    <definedName name="P_Z_0_R_LIBELLES_DESCRIPTIONS_10">#REF!</definedName>
    <definedName name="P_Z_0_R_LIBELLES_DESCRIPTIONS_11" localSheetId="11">#REF!</definedName>
    <definedName name="P_Z_0_R_LIBELLES_DESCRIPTIONS_11">#REF!</definedName>
    <definedName name="P_Z_0_R_LIBELLES_DESCRIPTIONS_12" localSheetId="11">#REF!</definedName>
    <definedName name="P_Z_0_R_LIBELLES_DESCRIPTIONS_12">#REF!</definedName>
    <definedName name="P_Z_0_R_LIBELLES_DESCRIPTIONS_13" localSheetId="11">#REF!</definedName>
    <definedName name="P_Z_0_R_LIBELLES_DESCRIPTIONS_13">#REF!</definedName>
    <definedName name="P_Z_0_R_LIBELLES_DESCRIPTIONS_14" localSheetId="11">#REF!</definedName>
    <definedName name="P_Z_0_R_LIBELLES_DESCRIPTIONS_14">#REF!</definedName>
    <definedName name="P_Z_0_R_LIBELLES_DESCRIPTIONS_15" localSheetId="11">#REF!</definedName>
    <definedName name="P_Z_0_R_LIBELLES_DESCRIPTIONS_15">#REF!</definedName>
    <definedName name="P_Z_0_R_LIBELLES_DESCRIPTIONS_16" localSheetId="11">#REF!</definedName>
    <definedName name="P_Z_0_R_LIBELLES_DESCRIPTIONS_16">#REF!</definedName>
    <definedName name="P_Z_0_R_LIBELLES_DESCRIPTIONS_17" localSheetId="11">#REF!</definedName>
    <definedName name="P_Z_0_R_LIBELLES_DESCRIPTIONS_17">#REF!</definedName>
    <definedName name="P_Z_0_R_LIBELLES_DESCRIPTIONS_18" localSheetId="11">#REF!</definedName>
    <definedName name="P_Z_0_R_LIBELLES_DESCRIPTIONS_18">#REF!</definedName>
    <definedName name="P_Z_0_R_LIBELLES_DESCRIPTIONS_19" localSheetId="11">#REF!</definedName>
    <definedName name="P_Z_0_R_LIBELLES_DESCRIPTIONS_19">#REF!</definedName>
    <definedName name="P_Z_0_R_LIBELLES_DESCRIPTIONS_2" localSheetId="11">#REF!</definedName>
    <definedName name="P_Z_0_R_LIBELLES_DESCRIPTIONS_2">#REF!</definedName>
    <definedName name="P_Z_0_R_LIBELLES_DESCRIPTIONS_20" localSheetId="11">#REF!</definedName>
    <definedName name="P_Z_0_R_LIBELLES_DESCRIPTIONS_20">#REF!</definedName>
    <definedName name="P_Z_0_R_LIBELLES_DESCRIPTIONS_3" localSheetId="11">#REF!</definedName>
    <definedName name="P_Z_0_R_LIBELLES_DESCRIPTIONS_3">#REF!</definedName>
    <definedName name="P_Z_0_R_LIBELLES_DESCRIPTIONS_4" localSheetId="11">#REF!</definedName>
    <definedName name="P_Z_0_R_LIBELLES_DESCRIPTIONS_4">#REF!</definedName>
    <definedName name="P_Z_0_R_LIBELLES_DESCRIPTIONS_5" localSheetId="11">#REF!</definedName>
    <definedName name="P_Z_0_R_LIBELLES_DESCRIPTIONS_5">#REF!</definedName>
    <definedName name="P_Z_0_R_LIBELLES_DESCRIPTIONS_6" localSheetId="11">#REF!</definedName>
    <definedName name="P_Z_0_R_LIBELLES_DESCRIPTIONS_6">#REF!</definedName>
    <definedName name="P_Z_0_R_LIBELLES_DESCRIPTIONS_7" localSheetId="11">#REF!</definedName>
    <definedName name="P_Z_0_R_LIBELLES_DESCRIPTIONS_7">#REF!</definedName>
    <definedName name="P_Z_0_R_LIBELLES_DESCRIPTIONS_8" localSheetId="11">#REF!</definedName>
    <definedName name="P_Z_0_R_LIBELLES_DESCRIPTIONS_8">#REF!</definedName>
    <definedName name="P_Z_0_R_LIBELLES_DESCRIPTIONS_9" localSheetId="11">#REF!</definedName>
    <definedName name="P_Z_0_R_LIBELLES_DESCRIPTIONS_9">#REF!</definedName>
    <definedName name="P_Z_0_R_LIBELLES_MARCHES_RAISONNABLES" localSheetId="11">#REF!</definedName>
    <definedName name="P_Z_0_R_LIBELLES_MARCHES_RAISONNABLES">#REF!</definedName>
    <definedName name="P_Z_0_R_LIBELLES_MARCHES_RAISONNABLES_1" localSheetId="11">#REF!</definedName>
    <definedName name="P_Z_0_R_LIBELLES_MARCHES_RAISONNABLES_1">#REF!</definedName>
    <definedName name="P_Z_0_R_LIBELLES_MARCHES_RAISONNABLES_2" localSheetId="11">#REF!</definedName>
    <definedName name="P_Z_0_R_LIBELLES_MARCHES_RAISONNABLES_2">#REF!</definedName>
    <definedName name="P_Z_0_R_LIBELLES_MARCHES_RAISONNABLES_3" localSheetId="11">#REF!</definedName>
    <definedName name="P_Z_0_R_LIBELLES_MARCHES_RAISONNABLES_3">#REF!</definedName>
    <definedName name="P_Z_0_R_LIBELLES_MARCHES_RAISONNABLES_4" localSheetId="11">#REF!</definedName>
    <definedName name="P_Z_0_R_LIBELLES_MARCHES_RAISONNABLES_4">#REF!</definedName>
    <definedName name="P_Z_0_R_LIBELLES_MARCHES_RAISONNABLES_5" localSheetId="11">#REF!</definedName>
    <definedName name="P_Z_0_R_LIBELLES_MARCHES_RAISONNABLES_5">#REF!</definedName>
    <definedName name="P_Z_0_R_LIBELLES_MARCHES_RAISONNABLES_OK" localSheetId="11">#REF!</definedName>
    <definedName name="P_Z_0_R_LIBELLES_MARCHES_RAISONNABLES_OK">#REF!</definedName>
    <definedName name="P_Z_0_R_LIBELLES_MOTIFS_INELIGIBILITE" localSheetId="11">#REF!</definedName>
    <definedName name="P_Z_0_R_LIBELLES_MOTIFS_INELIGIBILITE">#REF!</definedName>
    <definedName name="P_Z_0_R_LIBELLES_POSTES" localSheetId="11">#REF!</definedName>
    <definedName name="P_Z_0_R_LIBELLES_POSTES">#REF!</definedName>
    <definedName name="P_Z_0_R_LIBELLES_POSTES_1" localSheetId="11">#REF!</definedName>
    <definedName name="P_Z_0_R_LIBELLES_POSTES_1">#REF!</definedName>
    <definedName name="P_Z_0_R_LIBELLES_POSTES_10" localSheetId="11">#REF!</definedName>
    <definedName name="P_Z_0_R_LIBELLES_POSTES_10">#REF!</definedName>
    <definedName name="P_Z_0_R_LIBELLES_POSTES_11" localSheetId="11">#REF!</definedName>
    <definedName name="P_Z_0_R_LIBELLES_POSTES_11">#REF!</definedName>
    <definedName name="P_Z_0_R_LIBELLES_POSTES_12" localSheetId="11">#REF!</definedName>
    <definedName name="P_Z_0_R_LIBELLES_POSTES_12">#REF!</definedName>
    <definedName name="P_Z_0_R_LIBELLES_POSTES_13" localSheetId="11">#REF!</definedName>
    <definedName name="P_Z_0_R_LIBELLES_POSTES_13">#REF!</definedName>
    <definedName name="P_Z_0_R_LIBELLES_POSTES_14" localSheetId="11">#REF!</definedName>
    <definedName name="P_Z_0_R_LIBELLES_POSTES_14">#REF!</definedName>
    <definedName name="P_Z_0_R_LIBELLES_POSTES_15" localSheetId="11">#REF!</definedName>
    <definedName name="P_Z_0_R_LIBELLES_POSTES_15">#REF!</definedName>
    <definedName name="P_Z_0_R_LIBELLES_POSTES_16" localSheetId="11">#REF!</definedName>
    <definedName name="P_Z_0_R_LIBELLES_POSTES_16">#REF!</definedName>
    <definedName name="P_Z_0_R_LIBELLES_POSTES_17" localSheetId="11">#REF!</definedName>
    <definedName name="P_Z_0_R_LIBELLES_POSTES_17">#REF!</definedName>
    <definedName name="P_Z_0_R_LIBELLES_POSTES_18" localSheetId="11">#REF!</definedName>
    <definedName name="P_Z_0_R_LIBELLES_POSTES_18">#REF!</definedName>
    <definedName name="P_Z_0_R_LIBELLES_POSTES_19" localSheetId="11">#REF!</definedName>
    <definedName name="P_Z_0_R_LIBELLES_POSTES_19">#REF!</definedName>
    <definedName name="P_Z_0_R_LIBELLES_POSTES_2" localSheetId="11">#REF!</definedName>
    <definedName name="P_Z_0_R_LIBELLES_POSTES_2">#REF!</definedName>
    <definedName name="P_Z_0_R_LIBELLES_POSTES_20" localSheetId="11">#REF!</definedName>
    <definedName name="P_Z_0_R_LIBELLES_POSTES_20">#REF!</definedName>
    <definedName name="P_Z_0_R_LIBELLES_POSTES_3" localSheetId="11">#REF!</definedName>
    <definedName name="P_Z_0_R_LIBELLES_POSTES_3">#REF!</definedName>
    <definedName name="P_Z_0_R_LIBELLES_POSTES_4" localSheetId="11">#REF!</definedName>
    <definedName name="P_Z_0_R_LIBELLES_POSTES_4">#REF!</definedName>
    <definedName name="P_Z_0_R_LIBELLES_POSTES_5" localSheetId="11">#REF!</definedName>
    <definedName name="P_Z_0_R_LIBELLES_POSTES_5">#REF!</definedName>
    <definedName name="P_Z_0_R_LIBELLES_POSTES_6" localSheetId="11">#REF!</definedName>
    <definedName name="P_Z_0_R_LIBELLES_POSTES_6">#REF!</definedName>
    <definedName name="P_Z_0_R_LIBELLES_POSTES_7" localSheetId="11">#REF!</definedName>
    <definedName name="P_Z_0_R_LIBELLES_POSTES_7">#REF!</definedName>
    <definedName name="P_Z_0_R_LIBELLES_POSTES_8" localSheetId="11">#REF!</definedName>
    <definedName name="P_Z_0_R_LIBELLES_POSTES_8">#REF!</definedName>
    <definedName name="P_Z_0_R_LIBELLES_POSTES_9" localSheetId="11">#REF!</definedName>
    <definedName name="P_Z_0_R_LIBELLES_POSTES_9">#REF!</definedName>
    <definedName name="P_Z_0_R_LIBELLES_SOUS_OPERATIONS" localSheetId="11">#REF!</definedName>
    <definedName name="P_Z_0_R_LIBELLES_SOUS_OPERATIONS">#REF!</definedName>
    <definedName name="P_Z_0_R_LIBELLES_SOUS_OPERATIONS_" localSheetId="11">#REF!</definedName>
    <definedName name="P_Z_0_R_LIBELLES_SOUS_OPERATIONS_">#REF!</definedName>
    <definedName name="P_Z_0_R_LIBELLES_SOUS_OPERATIONS_1" localSheetId="11">#REF!</definedName>
    <definedName name="P_Z_0_R_LIBELLES_SOUS_OPERATIONS_1">#REF!</definedName>
    <definedName name="P_Z_0_R_LIBELLES_SOUS_OPERATIONS_10" localSheetId="11">#REF!</definedName>
    <definedName name="P_Z_0_R_LIBELLES_SOUS_OPERATIONS_10">#REF!</definedName>
    <definedName name="P_Z_0_R_LIBELLES_SOUS_OPERATIONS_11" localSheetId="11">#REF!</definedName>
    <definedName name="P_Z_0_R_LIBELLES_SOUS_OPERATIONS_11">#REF!</definedName>
    <definedName name="P_Z_0_R_LIBELLES_SOUS_OPERATIONS_12" localSheetId="11">#REF!</definedName>
    <definedName name="P_Z_0_R_LIBELLES_SOUS_OPERATIONS_12">#REF!</definedName>
    <definedName name="P_Z_0_R_LIBELLES_SOUS_OPERATIONS_13" localSheetId="11">#REF!</definedName>
    <definedName name="P_Z_0_R_LIBELLES_SOUS_OPERATIONS_13">#REF!</definedName>
    <definedName name="P_Z_0_R_LIBELLES_SOUS_OPERATIONS_14" localSheetId="11">#REF!</definedName>
    <definedName name="P_Z_0_R_LIBELLES_SOUS_OPERATIONS_14">#REF!</definedName>
    <definedName name="P_Z_0_R_LIBELLES_SOUS_OPERATIONS_15" localSheetId="11">#REF!</definedName>
    <definedName name="P_Z_0_R_LIBELLES_SOUS_OPERATIONS_15">#REF!</definedName>
    <definedName name="P_Z_0_R_LIBELLES_SOUS_OPERATIONS_16" localSheetId="11">#REF!</definedName>
    <definedName name="P_Z_0_R_LIBELLES_SOUS_OPERATIONS_16">#REF!</definedName>
    <definedName name="P_Z_0_R_LIBELLES_SOUS_OPERATIONS_17" localSheetId="11">#REF!</definedName>
    <definedName name="P_Z_0_R_LIBELLES_SOUS_OPERATIONS_17">#REF!</definedName>
    <definedName name="P_Z_0_R_LIBELLES_SOUS_OPERATIONS_18" localSheetId="11">#REF!</definedName>
    <definedName name="P_Z_0_R_LIBELLES_SOUS_OPERATIONS_18">#REF!</definedName>
    <definedName name="P_Z_0_R_LIBELLES_SOUS_OPERATIONS_19" localSheetId="11">#REF!</definedName>
    <definedName name="P_Z_0_R_LIBELLES_SOUS_OPERATIONS_19">#REF!</definedName>
    <definedName name="P_Z_0_R_LIBELLES_SOUS_OPERATIONS_2" localSheetId="11">#REF!</definedName>
    <definedName name="P_Z_0_R_LIBELLES_SOUS_OPERATIONS_2">#REF!</definedName>
    <definedName name="P_Z_0_R_LIBELLES_SOUS_OPERATIONS_20" localSheetId="11">#REF!</definedName>
    <definedName name="P_Z_0_R_LIBELLES_SOUS_OPERATIONS_20">#REF!</definedName>
    <definedName name="P_Z_0_R_LIBELLES_SOUS_OPERATIONS_3" localSheetId="11">#REF!</definedName>
    <definedName name="P_Z_0_R_LIBELLES_SOUS_OPERATIONS_3">#REF!</definedName>
    <definedName name="P_Z_0_R_LIBELLES_SOUS_OPERATIONS_4" localSheetId="11">#REF!</definedName>
    <definedName name="P_Z_0_R_LIBELLES_SOUS_OPERATIONS_4">#REF!</definedName>
    <definedName name="P_Z_0_R_LIBELLES_SOUS_OPERATIONS_5" localSheetId="11">#REF!</definedName>
    <definedName name="P_Z_0_R_LIBELLES_SOUS_OPERATIONS_5">#REF!</definedName>
    <definedName name="P_Z_0_R_LIBELLES_SOUS_OPERATIONS_6" localSheetId="11">#REF!</definedName>
    <definedName name="P_Z_0_R_LIBELLES_SOUS_OPERATIONS_6">#REF!</definedName>
    <definedName name="P_Z_0_R_LIBELLES_SOUS_OPERATIONS_7" localSheetId="11">#REF!</definedName>
    <definedName name="P_Z_0_R_LIBELLES_SOUS_OPERATIONS_7">#REF!</definedName>
    <definedName name="P_Z_0_R_LIBELLES_SOUS_OPERATIONS_8" localSheetId="11">#REF!</definedName>
    <definedName name="P_Z_0_R_LIBELLES_SOUS_OPERATIONS_8">#REF!</definedName>
    <definedName name="P_Z_0_R_LIBELLES_SOUS_OPERATIONS_9" localSheetId="11">#REF!</definedName>
    <definedName name="P_Z_0_R_LIBELLES_SOUS_OPERATIONS_9">#REF!</definedName>
    <definedName name="P_Z_0_R_LIBELLES_UNITES" localSheetId="11">#REF!</definedName>
    <definedName name="P_Z_0_R_LIBELLES_UNITES">#REF!</definedName>
    <definedName name="P_Z_0_R_LIBELLES_UNITES_1" localSheetId="11">#REF!</definedName>
    <definedName name="P_Z_0_R_LIBELLES_UNITES_1">#REF!</definedName>
    <definedName name="P_Z_0_R_LIBELLES_UNITES_10" localSheetId="11">#REF!</definedName>
    <definedName name="P_Z_0_R_LIBELLES_UNITES_10">#REF!</definedName>
    <definedName name="P_Z_0_R_LIBELLES_UNITES_11" localSheetId="11">#REF!</definedName>
    <definedName name="P_Z_0_R_LIBELLES_UNITES_11">#REF!</definedName>
    <definedName name="P_Z_0_R_LIBELLES_UNITES_12" localSheetId="11">#REF!</definedName>
    <definedName name="P_Z_0_R_LIBELLES_UNITES_12">#REF!</definedName>
    <definedName name="P_Z_0_R_LIBELLES_UNITES_13" localSheetId="11">#REF!</definedName>
    <definedName name="P_Z_0_R_LIBELLES_UNITES_13">#REF!</definedName>
    <definedName name="P_Z_0_R_LIBELLES_UNITES_14" localSheetId="11">#REF!</definedName>
    <definedName name="P_Z_0_R_LIBELLES_UNITES_14">#REF!</definedName>
    <definedName name="P_Z_0_R_LIBELLES_UNITES_15" localSheetId="11">#REF!</definedName>
    <definedName name="P_Z_0_R_LIBELLES_UNITES_15">#REF!</definedName>
    <definedName name="P_Z_0_R_LIBELLES_UNITES_16" localSheetId="11">#REF!</definedName>
    <definedName name="P_Z_0_R_LIBELLES_UNITES_16">#REF!</definedName>
    <definedName name="P_Z_0_R_LIBELLES_UNITES_17" localSheetId="11">#REF!</definedName>
    <definedName name="P_Z_0_R_LIBELLES_UNITES_17">#REF!</definedName>
    <definedName name="P_Z_0_R_LIBELLES_UNITES_18" localSheetId="11">#REF!</definedName>
    <definedName name="P_Z_0_R_LIBELLES_UNITES_18">#REF!</definedName>
    <definedName name="P_Z_0_R_LIBELLES_UNITES_19" localSheetId="11">#REF!</definedName>
    <definedName name="P_Z_0_R_LIBELLES_UNITES_19">#REF!</definedName>
    <definedName name="P_Z_0_R_LIBELLES_UNITES_2" localSheetId="11">#REF!</definedName>
    <definedName name="P_Z_0_R_LIBELLES_UNITES_2">#REF!</definedName>
    <definedName name="P_Z_0_R_LIBELLES_UNITES_20" localSheetId="11">#REF!</definedName>
    <definedName name="P_Z_0_R_LIBELLES_UNITES_20">#REF!</definedName>
    <definedName name="P_Z_0_R_LIBELLES_UNITES_3" localSheetId="11">#REF!</definedName>
    <definedName name="P_Z_0_R_LIBELLES_UNITES_3">#REF!</definedName>
    <definedName name="P_Z_0_R_LIBELLES_UNITES_4" localSheetId="11">#REF!</definedName>
    <definedName name="P_Z_0_R_LIBELLES_UNITES_4">#REF!</definedName>
    <definedName name="P_Z_0_R_LIBELLES_UNITES_5" localSheetId="11">#REF!</definedName>
    <definedName name="P_Z_0_R_LIBELLES_UNITES_5">#REF!</definedName>
    <definedName name="P_Z_0_R_LIBELLES_UNITES_6" localSheetId="11">#REF!</definedName>
    <definedName name="P_Z_0_R_LIBELLES_UNITES_6">#REF!</definedName>
    <definedName name="P_Z_0_R_LIBELLES_UNITES_7" localSheetId="11">#REF!</definedName>
    <definedName name="P_Z_0_R_LIBELLES_UNITES_7">#REF!</definedName>
    <definedName name="P_Z_0_R_LIBELLES_UNITES_8" localSheetId="11">#REF!</definedName>
    <definedName name="P_Z_0_R_LIBELLES_UNITES_8">#REF!</definedName>
    <definedName name="P_Z_0_R_LIBELLES_UNITES_9" localSheetId="11">#REF!</definedName>
    <definedName name="P_Z_0_R_LIBELLES_UNITES_9">#REF!</definedName>
    <definedName name="P_Z_1_B_COLONNE_COMMENTAIRE" localSheetId="11">#REF!</definedName>
    <definedName name="P_Z_1_B_COLONNE_COMMENTAIRE">#REF!</definedName>
    <definedName name="P_Z_1_B_COLONNE_COMMENTAIRE_ACTIVE" localSheetId="11">#REF!</definedName>
    <definedName name="P_Z_1_B_COLONNE_COMMENTAIRE_ACTIVE">#REF!</definedName>
    <definedName name="P_Z_1_B_COLONNE_COMMENTAIRE_INDICATION" localSheetId="11">#REF!</definedName>
    <definedName name="P_Z_1_B_COLONNE_COMMENTAIRE_INDICATION">#REF!</definedName>
    <definedName name="P_Z_1_B_COLONNE_COMMENTAIRE_OBLIGATOIRE" localSheetId="11">#REF!</definedName>
    <definedName name="P_Z_1_B_COLONNE_COMMENTAIRE_OBLIGATOIRE">#REF!</definedName>
    <definedName name="P_Z_1_B_COLONNE_COMMENTAIRE_SI_LIBELLE_STANDARD" localSheetId="11">#REF!</definedName>
    <definedName name="P_Z_1_B_COLONNE_COMMENTAIRE_SI_LIBELLE_STANDARD">#REF!</definedName>
    <definedName name="P_Z_1_B_COLONNE_CT_RAISONNABLE_FOURNISSEUR_2" localSheetId="11">#REF!</definedName>
    <definedName name="P_Z_1_B_COLONNE_CT_RAISONNABLE_FOURNISSEUR_2">#REF!</definedName>
    <definedName name="P_Z_1_B_COLONNE_CT_RAISONNABLE_FOURNISSEUR_2_INDICATION" localSheetId="11">#REF!</definedName>
    <definedName name="P_Z_1_B_COLONNE_CT_RAISONNABLE_FOURNISSEUR_2_INDICATION">#REF!</definedName>
    <definedName name="P_Z_1_B_COLONNE_CT_RAISONNABLE_FOURNISSEUR_3" localSheetId="11">#REF!</definedName>
    <definedName name="P_Z_1_B_COLONNE_CT_RAISONNABLE_FOURNISSEUR_3">#REF!</definedName>
    <definedName name="P_Z_1_B_COLONNE_CT_RAISONNABLE_FOURNISSEUR_3_INDICATION" localSheetId="11">#REF!</definedName>
    <definedName name="P_Z_1_B_COLONNE_CT_RAISONNABLE_FOURNISSEUR_3_INDICATION">#REF!</definedName>
    <definedName name="P_Z_1_B_COLONNE_CT_RAISONNABLE_JUSTIFICATIF_2" localSheetId="11">#REF!</definedName>
    <definedName name="P_Z_1_B_COLONNE_CT_RAISONNABLE_JUSTIFICATIF_2">#REF!</definedName>
    <definedName name="P_Z_1_B_COLONNE_CT_RAISONNABLE_JUSTIFICATIF_2_INDICATION" localSheetId="11">#REF!</definedName>
    <definedName name="P_Z_1_B_COLONNE_CT_RAISONNABLE_JUSTIFICATIF_2_INDICATION">#REF!</definedName>
    <definedName name="P_Z_1_B_COLONNE_CT_RAISONNABLE_JUSTIFICATIF_3" localSheetId="11">#REF!</definedName>
    <definedName name="P_Z_1_B_COLONNE_CT_RAISONNABLE_JUSTIFICATIF_3">#REF!</definedName>
    <definedName name="P_Z_1_B_COLONNE_CT_RAISONNABLE_JUSTIFICATIF_3_INDICATION" localSheetId="11">#REF!</definedName>
    <definedName name="P_Z_1_B_COLONNE_CT_RAISONNABLE_JUSTIFICATIF_3_INDICATION">#REF!</definedName>
    <definedName name="P_Z_1_B_COLONNE_CT_RAISONNABLE_MARCHE" localSheetId="11">#REF!</definedName>
    <definedName name="P_Z_1_B_COLONNE_CT_RAISONNABLE_MARCHE">#REF!</definedName>
    <definedName name="P_Z_1_B_COLONNE_CT_RAISONNABLE_MARCHE_INDICATION" localSheetId="11">#REF!</definedName>
    <definedName name="P_Z_1_B_COLONNE_CT_RAISONNABLE_MARCHE_INDICATION">#REF!</definedName>
    <definedName name="P_Z_1_B_COLONNE_CT_RAISONNABLE_MT_HT_2" localSheetId="11">#REF!</definedName>
    <definedName name="P_Z_1_B_COLONNE_CT_RAISONNABLE_MT_HT_2">#REF!</definedName>
    <definedName name="P_Z_1_B_COLONNE_CT_RAISONNABLE_MT_HT_2_INDICATION" localSheetId="11">#REF!</definedName>
    <definedName name="P_Z_1_B_COLONNE_CT_RAISONNABLE_MT_HT_2_INDICATION">#REF!</definedName>
    <definedName name="P_Z_1_B_COLONNE_CT_RAISONNABLE_MT_HT_3" localSheetId="11">#REF!</definedName>
    <definedName name="P_Z_1_B_COLONNE_CT_RAISONNABLE_MT_HT_3">#REF!</definedName>
    <definedName name="P_Z_1_B_COLONNE_CT_RAISONNABLE_MT_HT_3_INDICATION" localSheetId="11">#REF!</definedName>
    <definedName name="P_Z_1_B_COLONNE_CT_RAISONNABLE_MT_HT_3_INDICATION">#REF!</definedName>
    <definedName name="P_Z_1_B_COLONNE_CT_RAISONNABLE_MT_TVA_2" localSheetId="11">#REF!</definedName>
    <definedName name="P_Z_1_B_COLONNE_CT_RAISONNABLE_MT_TVA_2">#REF!</definedName>
    <definedName name="P_Z_1_B_COLONNE_CT_RAISONNABLE_MT_TVA_2_INDICATION" localSheetId="11">#REF!</definedName>
    <definedName name="P_Z_1_B_COLONNE_CT_RAISONNABLE_MT_TVA_2_INDICATION">#REF!</definedName>
    <definedName name="P_Z_1_B_COLONNE_CT_RAISONNABLE_MT_TVA_3" localSheetId="11">#REF!</definedName>
    <definedName name="P_Z_1_B_COLONNE_CT_RAISONNABLE_MT_TVA_3">#REF!</definedName>
    <definedName name="P_Z_1_B_COLONNE_CT_RAISONNABLE_MT_TVA_3_INDICATION" localSheetId="11">#REF!</definedName>
    <definedName name="P_Z_1_B_COLONNE_CT_RAISONNABLE_MT_TVA_3_INDICATION">#REF!</definedName>
    <definedName name="P_Z_1_B_COLONNE_DESCRIPTION" localSheetId="11">#REF!</definedName>
    <definedName name="P_Z_1_B_COLONNE_DESCRIPTION">#REF!</definedName>
    <definedName name="P_Z_1_B_COLONNE_DESCRIPTION_INDICATION" localSheetId="11">#REF!</definedName>
    <definedName name="P_Z_1_B_COLONNE_DESCRIPTION_INDICATION">#REF!</definedName>
    <definedName name="P_Z_1_B_COLONNE_FOURNISSEUR" localSheetId="11">#REF!</definedName>
    <definedName name="P_Z_1_B_COLONNE_FOURNISSEUR">#REF!</definedName>
    <definedName name="P_Z_1_B_COLONNE_FOURNISSEUR_INDICATION" localSheetId="11">#REF!</definedName>
    <definedName name="P_Z_1_B_COLONNE_FOURNISSEUR_INDICATION">#REF!</definedName>
    <definedName name="P_Z_1_B_COLONNE_JUSTIFICATIF" localSheetId="11">#REF!</definedName>
    <definedName name="P_Z_1_B_COLONNE_JUSTIFICATIF">#REF!</definedName>
    <definedName name="P_Z_1_B_COLONNE_JUSTIFICATIF_INDICATION" localSheetId="11">#REF!</definedName>
    <definedName name="P_Z_1_B_COLONNE_JUSTIFICATIF_INDICATION">#REF!</definedName>
    <definedName name="P_Z_1_B_COLONNE_MOTIFS_INELIGIBILITE_LIBELLE_STANDARD" localSheetId="11">#REF!</definedName>
    <definedName name="P_Z_1_B_COLONNE_MOTIFS_INELIGIBILITE_LIBELLE_STANDARD">#REF!</definedName>
    <definedName name="P_Z_1_B_COLONNE_MT_ELIGIBLE_LIBELLE_STANDARD" localSheetId="11">#REF!</definedName>
    <definedName name="P_Z_1_B_COLONNE_MT_ELIGIBLE_LIBELLE_STANDARD">#REF!</definedName>
    <definedName name="P_Z_1_B_COLONNE_MT_INELIGIBLE_LIBELLE_STANDARD" localSheetId="11">#REF!</definedName>
    <definedName name="P_Z_1_B_COLONNE_MT_INELIGIBLE_LIBELLE_STANDARD">#REF!</definedName>
    <definedName name="P_Z_1_B_COLONNE_MT_MAX_ACTIVE" localSheetId="11">#REF!</definedName>
    <definedName name="P_Z_1_B_COLONNE_MT_MAX_ACTIVE">#REF!</definedName>
    <definedName name="P_Z_1_B_COLONNE_MT_MAX_LIBELLE_STANDARD" localSheetId="11">#REF!</definedName>
    <definedName name="P_Z_1_B_COLONNE_MT_MAX_LIBELLE_STANDARD">#REF!</definedName>
    <definedName name="P_Z_1_B_COLONNE_MT_PRESENTE_HT" localSheetId="11">#REF!</definedName>
    <definedName name="P_Z_1_B_COLONNE_MT_PRESENTE_HT">#REF!</definedName>
    <definedName name="P_Z_1_B_COLONNE_MT_PRESENTE_HT_INDICATION" localSheetId="11">#REF!</definedName>
    <definedName name="P_Z_1_B_COLONNE_MT_PRESENTE_HT_INDICATION">#REF!</definedName>
    <definedName name="P_Z_1_B_COLONNE_MT_PRESENTE_TVA" localSheetId="11">#REF!</definedName>
    <definedName name="P_Z_1_B_COLONNE_MT_PRESENTE_TVA">#REF!</definedName>
    <definedName name="P_Z_1_B_COLONNE_MT_PRESENTE_TVA_INDICATION" localSheetId="11">#REF!</definedName>
    <definedName name="P_Z_1_B_COLONNE_MT_PRESENTE_TVA_INDICATION">#REF!</definedName>
    <definedName name="P_Z_1_B_COLONNE_MT_RAISONNABLE_LIBELLE_STANDARD" localSheetId="11">#REF!</definedName>
    <definedName name="P_Z_1_B_COLONNE_MT_RAISONNABLE_LIBELLE_STANDARD">#REF!</definedName>
    <definedName name="P_Z_1_B_COLONNE_POSTE" localSheetId="11">#REF!</definedName>
    <definedName name="P_Z_1_B_COLONNE_POSTE">#REF!</definedName>
    <definedName name="P_Z_1_B_COLONNE_POSTE_INDICATION" localSheetId="11">#REF!</definedName>
    <definedName name="P_Z_1_B_COLONNE_POSTE_INDICATION">#REF!</definedName>
    <definedName name="P_Z_1_B_COLONNE_QUANTITE" localSheetId="11">#REF!</definedName>
    <definedName name="P_Z_1_B_COLONNE_QUANTITE">#REF!</definedName>
    <definedName name="P_Z_1_B_COLONNE_QUANTITE_ACTIVE" localSheetId="11">#REF!</definedName>
    <definedName name="P_Z_1_B_COLONNE_QUANTITE_ACTIVE">#REF!</definedName>
    <definedName name="P_Z_1_B_COLONNE_QUANTITE_INDICATION" localSheetId="11">#REF!</definedName>
    <definedName name="P_Z_1_B_COLONNE_QUANTITE_INDICATION">#REF!</definedName>
    <definedName name="P_Z_1_B_COLONNE_QUANTITE_OBLIGATOIRE" localSheetId="11">#REF!</definedName>
    <definedName name="P_Z_1_B_COLONNE_QUANTITE_OBLIGATOIRE">#REF!</definedName>
    <definedName name="P_Z_1_B_COLONNE_SOUS_OPERATION" localSheetId="11">#REF!</definedName>
    <definedName name="P_Z_1_B_COLONNE_SOUS_OPERATION">#REF!</definedName>
    <definedName name="P_Z_1_B_COLONNE_SOUS_OPERATION_INDICATION" localSheetId="11">#REF!</definedName>
    <definedName name="P_Z_1_B_COLONNE_SOUS_OPERATION_INDICATION">#REF!</definedName>
    <definedName name="P_Z_1_B_COLONNE_UNITE" localSheetId="11">#REF!</definedName>
    <definedName name="P_Z_1_B_COLONNE_UNITE">#REF!</definedName>
    <definedName name="P_Z_1_B_COLONNE_UNITE_ACTIVE" localSheetId="11">#REF!</definedName>
    <definedName name="P_Z_1_B_COLONNE_UNITE_ACTIVE">#REF!</definedName>
    <definedName name="P_Z_1_B_COLONNE_UNITE_INDICATION" localSheetId="11">#REF!</definedName>
    <definedName name="P_Z_1_B_COLONNE_UNITE_INDICATION">#REF!</definedName>
    <definedName name="P_Z_1_B_COLONNE_UNITE_OBLIGATOIRE" localSheetId="11">#REF!</definedName>
    <definedName name="P_Z_1_B_COLONNE_UNITE_OBLIGATOIRE">#REF!</definedName>
    <definedName name="P_Z_1_B_EXEMPLE_UTILISATION" localSheetId="11">#REF!</definedName>
    <definedName name="P_Z_1_B_EXEMPLE_UTILISATION">#REF!</definedName>
    <definedName name="P_Z_1_B_INTITULE_DEPENSES_DEVIS_STANDARD" localSheetId="11">#REF!</definedName>
    <definedName name="P_Z_1_B_INTITULE_DEPENSES_DEVIS_STANDARD">#REF!</definedName>
    <definedName name="P_Z_1_B_UFD" localSheetId="11">#REF!</definedName>
    <definedName name="P_Z_1_B_UFD">#REF!</definedName>
    <definedName name="P_Z_1_B_ULD" localSheetId="11">#REF!</definedName>
    <definedName name="P_Z_1_B_ULD">#REF!</definedName>
    <definedName name="P_Z_1_B_UTILISATION_FILTRE_DESCRIPTIONS" localSheetId="11">#REF!</definedName>
    <definedName name="P_Z_1_B_UTILISATION_FILTRE_DESCRIPTIONS">#REF!</definedName>
    <definedName name="P_Z_1_B_UTILISATION_FILTRE_POSTES" localSheetId="11">#REF!</definedName>
    <definedName name="P_Z_1_B_UTILISATION_FILTRE_POSTES">#REF!</definedName>
    <definedName name="P_Z_1_B_UTILISATION_FILTRE_SOUS_OPERATIONS" localSheetId="11">#REF!</definedName>
    <definedName name="P_Z_1_B_UTILISATION_FILTRE_SOUS_OPERATIONS">#REF!</definedName>
    <definedName name="P_Z_1_B_UTILISATION_FILTRE_UNITES" localSheetId="11">#REF!</definedName>
    <definedName name="P_Z_1_B_UTILISATION_FILTRE_UNITES">#REF!</definedName>
    <definedName name="P_Z_1_B_UTILISATION_LIBELLES_DESCRIPTIONS" localSheetId="11">#REF!</definedName>
    <definedName name="P_Z_1_B_UTILISATION_LIBELLES_DESCRIPTIONS">#REF!</definedName>
    <definedName name="P_Z_1_N_COLONNE_COMMENTAIRE_INDICATION" localSheetId="11">#REF!</definedName>
    <definedName name="P_Z_1_N_COLONNE_COMMENTAIRE_INDICATION">#REF!</definedName>
    <definedName name="P_Z_1_N_COLONNE_COMMENTAIRE_INDICATION_STANDARD" localSheetId="11">#REF!</definedName>
    <definedName name="P_Z_1_N_COLONNE_COMMENTAIRE_INDICATION_STANDARD">#REF!</definedName>
    <definedName name="P_Z_1_N_COLONNE_COMMENTAIRE_SI_LIBELLE_DEFAUT" localSheetId="11">#REF!</definedName>
    <definedName name="P_Z_1_N_COLONNE_COMMENTAIRE_SI_LIBELLE_DEFAUT">#REF!</definedName>
    <definedName name="P_Z_1_N_COLONNE_COMMENTAIRE_SI_LIBELLE_STANDARD" localSheetId="11">#REF!</definedName>
    <definedName name="P_Z_1_N_COLONNE_COMMENTAIRE_SI_LIBELLE_STANDARD">#REF!</definedName>
    <definedName name="P_Z_1_N_COLONNE_COMMENTAIRE_SPECIFIQUE" localSheetId="11">#REF!</definedName>
    <definedName name="P_Z_1_N_COLONNE_COMMENTAIRE_SPECIFIQUE">#REF!</definedName>
    <definedName name="P_Z_1_N_COLONNE_COMMENTAIRE_STANDARD" localSheetId="11">#REF!</definedName>
    <definedName name="P_Z_1_N_COLONNE_COMMENTAIRE_STANDARD">#REF!</definedName>
    <definedName name="P_Z_1_N_COLONNE_CT_RAISONNABLE_FOURNISSEUR_2_INDICATION" localSheetId="11">#REF!</definedName>
    <definedName name="P_Z_1_N_COLONNE_CT_RAISONNABLE_FOURNISSEUR_2_INDICATION">#REF!</definedName>
    <definedName name="P_Z_1_N_COLONNE_CT_RAISONNABLE_FOURNISSEUR_2_INDICATION_STANDARD" localSheetId="11">#REF!</definedName>
    <definedName name="P_Z_1_N_COLONNE_CT_RAISONNABLE_FOURNISSEUR_2_INDICATION_STANDARD">#REF!</definedName>
    <definedName name="P_Z_1_N_COLONNE_CT_RAISONNABLE_FOURNISSEUR_2_SPECIFIQUE" localSheetId="11">#REF!</definedName>
    <definedName name="P_Z_1_N_COLONNE_CT_RAISONNABLE_FOURNISSEUR_2_SPECIFIQUE">#REF!</definedName>
    <definedName name="P_Z_1_N_COLONNE_CT_RAISONNABLE_FOURNISSEUR_2_STANDARD" localSheetId="11">#REF!</definedName>
    <definedName name="P_Z_1_N_COLONNE_CT_RAISONNABLE_FOURNISSEUR_2_STANDARD">#REF!</definedName>
    <definedName name="P_Z_1_N_COLONNE_CT_RAISONNABLE_FOURNISSEUR_3_INDICATION" localSheetId="11">#REF!</definedName>
    <definedName name="P_Z_1_N_COLONNE_CT_RAISONNABLE_FOURNISSEUR_3_INDICATION">#REF!</definedName>
    <definedName name="P_Z_1_N_COLONNE_CT_RAISONNABLE_FOURNISSEUR_3_INDICATION_STANDARD" localSheetId="11">#REF!</definedName>
    <definedName name="P_Z_1_N_COLONNE_CT_RAISONNABLE_FOURNISSEUR_3_INDICATION_STANDARD">#REF!</definedName>
    <definedName name="P_Z_1_N_COLONNE_CT_RAISONNABLE_FOURNISSEUR_3_SPECIFIQUE" localSheetId="11">#REF!</definedName>
    <definedName name="P_Z_1_N_COLONNE_CT_RAISONNABLE_FOURNISSEUR_3_SPECIFIQUE">#REF!</definedName>
    <definedName name="P_Z_1_N_COLONNE_CT_RAISONNABLE_FOURNISSEUR_3_STANDARD" localSheetId="11">#REF!</definedName>
    <definedName name="P_Z_1_N_COLONNE_CT_RAISONNABLE_FOURNISSEUR_3_STANDARD">#REF!</definedName>
    <definedName name="P_Z_1_N_COLONNE_CT_RAISONNABLE_JUSTIFICATIF_2_INDICATION" localSheetId="11">#REF!</definedName>
    <definedName name="P_Z_1_N_COLONNE_CT_RAISONNABLE_JUSTIFICATIF_2_INDICATION">#REF!</definedName>
    <definedName name="P_Z_1_N_COLONNE_CT_RAISONNABLE_JUSTIFICATIF_2_INDICATION_STANDARD" localSheetId="11">#REF!</definedName>
    <definedName name="P_Z_1_N_COLONNE_CT_RAISONNABLE_JUSTIFICATIF_2_INDICATION_STANDARD">#REF!</definedName>
    <definedName name="P_Z_1_N_COLONNE_CT_RAISONNABLE_JUSTIFICATIF_2_SPECIFIQUE" localSheetId="11">#REF!</definedName>
    <definedName name="P_Z_1_N_COLONNE_CT_RAISONNABLE_JUSTIFICATIF_2_SPECIFIQUE">#REF!</definedName>
    <definedName name="P_Z_1_N_COLONNE_CT_RAISONNABLE_JUSTIFICATIF_2_STANDARD" localSheetId="11">#REF!</definedName>
    <definedName name="P_Z_1_N_COLONNE_CT_RAISONNABLE_JUSTIFICATIF_2_STANDARD">#REF!</definedName>
    <definedName name="P_Z_1_N_COLONNE_CT_RAISONNABLE_JUSTIFICATIF_3_INDICATION" localSheetId="11">#REF!</definedName>
    <definedName name="P_Z_1_N_COLONNE_CT_RAISONNABLE_JUSTIFICATIF_3_INDICATION">#REF!</definedName>
    <definedName name="P_Z_1_N_COLONNE_CT_RAISONNABLE_JUSTIFICATIF_3_INDICATION_STANDARD" localSheetId="11">#REF!</definedName>
    <definedName name="P_Z_1_N_COLONNE_CT_RAISONNABLE_JUSTIFICATIF_3_INDICATION_STANDARD">#REF!</definedName>
    <definedName name="P_Z_1_N_COLONNE_CT_RAISONNABLE_JUSTIFICATIF_3_SPECIFIQUE" localSheetId="11">#REF!</definedName>
    <definedName name="P_Z_1_N_COLONNE_CT_RAISONNABLE_JUSTIFICATIF_3_SPECIFIQUE">#REF!</definedName>
    <definedName name="P_Z_1_N_COLONNE_CT_RAISONNABLE_JUSTIFICATIF_3_STANDARD" localSheetId="11">#REF!</definedName>
    <definedName name="P_Z_1_N_COLONNE_CT_RAISONNABLE_JUSTIFICATIF_3_STANDARD">#REF!</definedName>
    <definedName name="P_Z_1_N_COLONNE_CT_RAISONNABLE_MARCHE_INDICATION" localSheetId="11">#REF!</definedName>
    <definedName name="P_Z_1_N_COLONNE_CT_RAISONNABLE_MARCHE_INDICATION">#REF!</definedName>
    <definedName name="P_Z_1_N_COLONNE_CT_RAISONNABLE_MARCHE_INDICATION_STANDARD" localSheetId="11">#REF!</definedName>
    <definedName name="P_Z_1_N_COLONNE_CT_RAISONNABLE_MARCHE_INDICATION_STANDARD">#REF!</definedName>
    <definedName name="P_Z_1_N_COLONNE_CT_RAISONNABLE_MARCHE_SPECIFIQUE" localSheetId="11">#REF!</definedName>
    <definedName name="P_Z_1_N_COLONNE_CT_RAISONNABLE_MARCHE_SPECIFIQUE">#REF!</definedName>
    <definedName name="P_Z_1_N_COLONNE_CT_RAISONNABLE_MARCHE_STANDARD" localSheetId="11">#REF!</definedName>
    <definedName name="P_Z_1_N_COLONNE_CT_RAISONNABLE_MARCHE_STANDARD">#REF!</definedName>
    <definedName name="P_Z_1_N_COLONNE_CT_RAISONNABLE_MT_HT_2_INDICATION" localSheetId="11">#REF!</definedName>
    <definedName name="P_Z_1_N_COLONNE_CT_RAISONNABLE_MT_HT_2_INDICATION">#REF!</definedName>
    <definedName name="P_Z_1_N_COLONNE_CT_RAISONNABLE_MT_HT_2_INDICATION_STANDARD" localSheetId="11">#REF!</definedName>
    <definedName name="P_Z_1_N_COLONNE_CT_RAISONNABLE_MT_HT_2_INDICATION_STANDARD">#REF!</definedName>
    <definedName name="P_Z_1_N_COLONNE_CT_RAISONNABLE_MT_HT_2_SPECIFIQUE" localSheetId="11">#REF!</definedName>
    <definedName name="P_Z_1_N_COLONNE_CT_RAISONNABLE_MT_HT_2_SPECIFIQUE">#REF!</definedName>
    <definedName name="P_Z_1_N_COLONNE_CT_RAISONNABLE_MT_HT_2_STANDARD" localSheetId="11">#REF!</definedName>
    <definedName name="P_Z_1_N_COLONNE_CT_RAISONNABLE_MT_HT_2_STANDARD">#REF!</definedName>
    <definedName name="P_Z_1_N_COLONNE_CT_RAISONNABLE_MT_HT_3_INDICATION" localSheetId="11">#REF!</definedName>
    <definedName name="P_Z_1_N_COLONNE_CT_RAISONNABLE_MT_HT_3_INDICATION">#REF!</definedName>
    <definedName name="P_Z_1_N_COLONNE_CT_RAISONNABLE_MT_HT_3_INDICATION_STANDARD" localSheetId="11">#REF!</definedName>
    <definedName name="P_Z_1_N_COLONNE_CT_RAISONNABLE_MT_HT_3_INDICATION_STANDARD">#REF!</definedName>
    <definedName name="P_Z_1_N_COLONNE_CT_RAISONNABLE_MT_HT_3_SPECIFIQUE" localSheetId="11">#REF!</definedName>
    <definedName name="P_Z_1_N_COLONNE_CT_RAISONNABLE_MT_HT_3_SPECIFIQUE">#REF!</definedName>
    <definedName name="P_Z_1_N_COLONNE_CT_RAISONNABLE_MT_HT_3_STANDARD" localSheetId="11">#REF!</definedName>
    <definedName name="P_Z_1_N_COLONNE_CT_RAISONNABLE_MT_HT_3_STANDARD">#REF!</definedName>
    <definedName name="P_Z_1_N_COLONNE_CT_RAISONNABLE_MT_TVA_2_INDICATION" localSheetId="11">#REF!</definedName>
    <definedName name="P_Z_1_N_COLONNE_CT_RAISONNABLE_MT_TVA_2_INDICATION">#REF!</definedName>
    <definedName name="P_Z_1_N_COLONNE_CT_RAISONNABLE_MT_TVA_2_INDICATION_STANDARD" localSheetId="11">#REF!</definedName>
    <definedName name="P_Z_1_N_COLONNE_CT_RAISONNABLE_MT_TVA_2_INDICATION_STANDARD">#REF!</definedName>
    <definedName name="P_Z_1_N_COLONNE_CT_RAISONNABLE_MT_TVA_2_SPECIFIQUE" localSheetId="11">#REF!</definedName>
    <definedName name="P_Z_1_N_COLONNE_CT_RAISONNABLE_MT_TVA_2_SPECIFIQUE">#REF!</definedName>
    <definedName name="P_Z_1_N_COLONNE_CT_RAISONNABLE_MT_TVA_2_STANDARD" localSheetId="11">#REF!</definedName>
    <definedName name="P_Z_1_N_COLONNE_CT_RAISONNABLE_MT_TVA_2_STANDARD">#REF!</definedName>
    <definedName name="P_Z_1_N_COLONNE_CT_RAISONNABLE_MT_TVA_3_INDICATION" localSheetId="11">#REF!</definedName>
    <definedName name="P_Z_1_N_COLONNE_CT_RAISONNABLE_MT_TVA_3_INDICATION">#REF!</definedName>
    <definedName name="P_Z_1_N_COLONNE_CT_RAISONNABLE_MT_TVA_3_INDICATION_STANDARD" localSheetId="11">#REF!</definedName>
    <definedName name="P_Z_1_N_COLONNE_CT_RAISONNABLE_MT_TVA_3_INDICATION_STANDARD">#REF!</definedName>
    <definedName name="P_Z_1_N_COLONNE_CT_RAISONNABLE_MT_TVA_3_SPECIFIQUE" localSheetId="11">#REF!</definedName>
    <definedName name="P_Z_1_N_COLONNE_CT_RAISONNABLE_MT_TVA_3_SPECIFIQUE">#REF!</definedName>
    <definedName name="P_Z_1_N_COLONNE_CT_RAISONNABLE_MT_TVA_3_STANDARD" localSheetId="11">#REF!</definedName>
    <definedName name="P_Z_1_N_COLONNE_CT_RAISONNABLE_MT_TVA_3_STANDARD">#REF!</definedName>
    <definedName name="P_Z_1_N_COLONNE_DESCRIPTION_INDICATION" localSheetId="11">#REF!</definedName>
    <definedName name="P_Z_1_N_COLONNE_DESCRIPTION_INDICATION">#REF!</definedName>
    <definedName name="P_Z_1_N_COLONNE_DESCRIPTION_INDICATION_STANDARD" localSheetId="11">#REF!</definedName>
    <definedName name="P_Z_1_N_COLONNE_DESCRIPTION_INDICATION_STANDARD">#REF!</definedName>
    <definedName name="P_Z_1_N_COLONNE_DESCRIPTION_SPECIFIQUE" localSheetId="11">#REF!</definedName>
    <definedName name="P_Z_1_N_COLONNE_DESCRIPTION_SPECIFIQUE">#REF!</definedName>
    <definedName name="P_Z_1_N_COLONNE_DESCRIPTION_STANDARD" localSheetId="11">#REF!</definedName>
    <definedName name="P_Z_1_N_COLONNE_DESCRIPTION_STANDARD">#REF!</definedName>
    <definedName name="P_Z_1_N_COLONNE_FOURNISSEUR_INDICATION" localSheetId="11">#REF!</definedName>
    <definedName name="P_Z_1_N_COLONNE_FOURNISSEUR_INDICATION">#REF!</definedName>
    <definedName name="P_Z_1_N_COLONNE_FOURNISSEUR_INDICATION_STANDARD" localSheetId="11">#REF!</definedName>
    <definedName name="P_Z_1_N_COLONNE_FOURNISSEUR_INDICATION_STANDARD">#REF!</definedName>
    <definedName name="P_Z_1_N_COLONNE_FOURNISSEUR_SPECIFIQUE" localSheetId="11">#REF!</definedName>
    <definedName name="P_Z_1_N_COLONNE_FOURNISSEUR_SPECIFIQUE">#REF!</definedName>
    <definedName name="P_Z_1_N_COLONNE_FOURNISSEUR_STANDARD" localSheetId="11">#REF!</definedName>
    <definedName name="P_Z_1_N_COLONNE_FOURNISSEUR_STANDARD">#REF!</definedName>
    <definedName name="P_Z_1_N_COLONNE_JUSTIFICATIF_INDICATION" localSheetId="11">#REF!</definedName>
    <definedName name="P_Z_1_N_COLONNE_JUSTIFICATIF_INDICATION">#REF!</definedName>
    <definedName name="P_Z_1_N_COLONNE_JUSTIFICATIF_INDICATION_STANDARD" localSheetId="11">#REF!</definedName>
    <definedName name="P_Z_1_N_COLONNE_JUSTIFICATIF_INDICATION_STANDARD">#REF!</definedName>
    <definedName name="P_Z_1_N_COLONNE_JUSTIFICATIF_SPECIFIQUE" localSheetId="11">#REF!</definedName>
    <definedName name="P_Z_1_N_COLONNE_JUSTIFICATIF_SPECIFIQUE">#REF!</definedName>
    <definedName name="P_Z_1_N_COLONNE_JUSTIFICATIF_STANDARD" localSheetId="11">#REF!</definedName>
    <definedName name="P_Z_1_N_COLONNE_JUSTIFICATIF_STANDARD">#REF!</definedName>
    <definedName name="P_Z_1_N_COLONNE_MOTIFS_INELIGIBILITE_LIBELLE_DEFAUT" localSheetId="11">#REF!</definedName>
    <definedName name="P_Z_1_N_COLONNE_MOTIFS_INELIGIBILITE_LIBELLE_DEFAUT">#REF!</definedName>
    <definedName name="P_Z_1_N_COLONNE_MOTIFS_INELIGIBILITE_LIBELLE_STANDARD" localSheetId="11">#REF!</definedName>
    <definedName name="P_Z_1_N_COLONNE_MOTIFS_INELIGIBILITE_LIBELLE_STANDARD">#REF!</definedName>
    <definedName name="P_Z_1_N_COLONNE_MT_ELIGIBLE_LIBELLE_DEFAUT" localSheetId="11">#REF!</definedName>
    <definedName name="P_Z_1_N_COLONNE_MT_ELIGIBLE_LIBELLE_DEFAUT">#REF!</definedName>
    <definedName name="P_Z_1_N_COLONNE_MT_ELIGIBLE_LIBELLE_STANDARD" localSheetId="11">#REF!</definedName>
    <definedName name="P_Z_1_N_COLONNE_MT_ELIGIBLE_LIBELLE_STANDARD">#REF!</definedName>
    <definedName name="P_Z_1_N_COLONNE_MT_INELIGIBLE_LIBELLE_DEFAUT" localSheetId="11">#REF!</definedName>
    <definedName name="P_Z_1_N_COLONNE_MT_INELIGIBLE_LIBELLE_DEFAUT">#REF!</definedName>
    <definedName name="P_Z_1_N_COLONNE_MT_INELIGIBLE_LIBELLE_STANDARD" localSheetId="11">#REF!</definedName>
    <definedName name="P_Z_1_N_COLONNE_MT_INELIGIBLE_LIBELLE_STANDARD">#REF!</definedName>
    <definedName name="P_Z_1_N_COLONNE_MT_MAX_LIBELLE_DEFAUT" localSheetId="11">#REF!</definedName>
    <definedName name="P_Z_1_N_COLONNE_MT_MAX_LIBELLE_DEFAUT">#REF!</definedName>
    <definedName name="P_Z_1_N_COLONNE_MT_MAX_LIBELLE_STANDARD" localSheetId="11">#REF!</definedName>
    <definedName name="P_Z_1_N_COLONNE_MT_MAX_LIBELLE_STANDARD">#REF!</definedName>
    <definedName name="P_Z_1_N_COLONNE_MT_PRESENTE_HT_INDICATION" localSheetId="11">#REF!</definedName>
    <definedName name="P_Z_1_N_COLONNE_MT_PRESENTE_HT_INDICATION">#REF!</definedName>
    <definedName name="P_Z_1_N_COLONNE_MT_PRESENTE_HT_INDICATION_STANDARD" localSheetId="11">#REF!</definedName>
    <definedName name="P_Z_1_N_COLONNE_MT_PRESENTE_HT_INDICATION_STANDARD">#REF!</definedName>
    <definedName name="P_Z_1_N_COLONNE_MT_PRESENTE_HT_SPECIFIQUE" localSheetId="11">#REF!</definedName>
    <definedName name="P_Z_1_N_COLONNE_MT_PRESENTE_HT_SPECIFIQUE">#REF!</definedName>
    <definedName name="P_Z_1_N_COLONNE_MT_PRESENTE_HT_STANDARD" localSheetId="11">#REF!</definedName>
    <definedName name="P_Z_1_N_COLONNE_MT_PRESENTE_HT_STANDARD">#REF!</definedName>
    <definedName name="P_Z_1_N_COLONNE_MT_PRESENTE_TVA_INDICATION" localSheetId="11">#REF!</definedName>
    <definedName name="P_Z_1_N_COLONNE_MT_PRESENTE_TVA_INDICATION">#REF!</definedName>
    <definedName name="P_Z_1_N_COLONNE_MT_PRESENTE_TVA_INDICATION_STANDARD" localSheetId="11">#REF!</definedName>
    <definedName name="P_Z_1_N_COLONNE_MT_PRESENTE_TVA_INDICATION_STANDARD">#REF!</definedName>
    <definedName name="P_Z_1_N_COLONNE_MT_PRESENTE_TVA_SPECIFIQUE" localSheetId="11">#REF!</definedName>
    <definedName name="P_Z_1_N_COLONNE_MT_PRESENTE_TVA_SPECIFIQUE">#REF!</definedName>
    <definedName name="P_Z_1_N_COLONNE_MT_PRESENTE_TVA_STANDARD" localSheetId="11">#REF!</definedName>
    <definedName name="P_Z_1_N_COLONNE_MT_PRESENTE_TVA_STANDARD">#REF!</definedName>
    <definedName name="P_Z_1_N_COLONNE_MT_RAISONNABLE_DEFAUT" localSheetId="11">#REF!</definedName>
    <definedName name="P_Z_1_N_COLONNE_MT_RAISONNABLE_DEFAUT">#REF!</definedName>
    <definedName name="P_Z_1_N_COLONNE_MT_RAISONNABLE_STANDARD" localSheetId="11">#REF!</definedName>
    <definedName name="P_Z_1_N_COLONNE_MT_RAISONNABLE_STANDARD">#REF!</definedName>
    <definedName name="P_Z_1_N_COLONNE_POSTE_INDICATION" localSheetId="11">#REF!</definedName>
    <definedName name="P_Z_1_N_COLONNE_POSTE_INDICATION">#REF!</definedName>
    <definedName name="P_Z_1_N_COLONNE_POSTE_INDICATION_STANDARD" localSheetId="11">#REF!</definedName>
    <definedName name="P_Z_1_N_COLONNE_POSTE_INDICATION_STANDARD">#REF!</definedName>
    <definedName name="P_Z_1_N_COLONNE_POSTE_SPECIFIQUE" localSheetId="11">#REF!</definedName>
    <definedName name="P_Z_1_N_COLONNE_POSTE_SPECIFIQUE">#REF!</definedName>
    <definedName name="P_Z_1_N_COLONNE_POSTE_STANDARD" localSheetId="11">#REF!</definedName>
    <definedName name="P_Z_1_N_COLONNE_POSTE_STANDARD">#REF!</definedName>
    <definedName name="P_Z_1_N_COLONNE_QUANTITE_INDICATION" localSheetId="11">#REF!</definedName>
    <definedName name="P_Z_1_N_COLONNE_QUANTITE_INDICATION">#REF!</definedName>
    <definedName name="P_Z_1_N_COLONNE_QUANTITE_INDICATION_STANDARD" localSheetId="11">#REF!</definedName>
    <definedName name="P_Z_1_N_COLONNE_QUANTITE_INDICATION_STANDARD">#REF!</definedName>
    <definedName name="P_Z_1_N_COLONNE_QUANTITE_SPECIFIQUE" localSheetId="11">#REF!</definedName>
    <definedName name="P_Z_1_N_COLONNE_QUANTITE_SPECIFIQUE">#REF!</definedName>
    <definedName name="P_Z_1_N_COLONNE_QUANTITE_STANDARD" localSheetId="11">#REF!</definedName>
    <definedName name="P_Z_1_N_COLONNE_QUANTITE_STANDARD">#REF!</definedName>
    <definedName name="P_Z_1_N_COLONNE_SOUS_OPERATION_INDICATION" localSheetId="11">#REF!</definedName>
    <definedName name="P_Z_1_N_COLONNE_SOUS_OPERATION_INDICATION">#REF!</definedName>
    <definedName name="P_Z_1_N_COLONNE_SOUS_OPERATION_INDICATION_STANDARD" localSheetId="11">#REF!</definedName>
    <definedName name="P_Z_1_N_COLONNE_SOUS_OPERATION_INDICATION_STANDARD">#REF!</definedName>
    <definedName name="P_Z_1_N_COLONNE_SOUS_OPERATION_SPECIFIQUE" localSheetId="11">#REF!</definedName>
    <definedName name="P_Z_1_N_COLONNE_SOUS_OPERATION_SPECIFIQUE">#REF!</definedName>
    <definedName name="P_Z_1_N_COLONNE_SOUS_OPERATION_STANDARD" localSheetId="11">#REF!</definedName>
    <definedName name="P_Z_1_N_COLONNE_SOUS_OPERATION_STANDARD">#REF!</definedName>
    <definedName name="P_Z_1_N_COLONNE_UNITE_INDICATION" localSheetId="11">#REF!</definedName>
    <definedName name="P_Z_1_N_COLONNE_UNITE_INDICATION">#REF!</definedName>
    <definedName name="P_Z_1_N_COLONNE_UNITE_INDICATION_STANDARD" localSheetId="11">#REF!</definedName>
    <definedName name="P_Z_1_N_COLONNE_UNITE_INDICATION_STANDARD">#REF!</definedName>
    <definedName name="P_Z_1_N_COLONNE_UNITE_SPECIFIQUE" localSheetId="11">#REF!</definedName>
    <definedName name="P_Z_1_N_COLONNE_UNITE_SPECIFIQUE">#REF!</definedName>
    <definedName name="P_Z_1_N_COLONNE_UNITE_STANDARD" localSheetId="11">#REF!</definedName>
    <definedName name="P_Z_1_N_COLONNE_UNITE_STANDARD">#REF!</definedName>
    <definedName name="P_Z_1_N_CONSIGNE_DEPENSES_DEVIS" localSheetId="11">#REF!</definedName>
    <definedName name="P_Z_1_N_CONSIGNE_DEPENSES_DEVIS">#REF!</definedName>
    <definedName name="P_Z_1_N_EXEMPLE_COMMENTAIRE" localSheetId="11">#REF!</definedName>
    <definedName name="P_Z_1_N_EXEMPLE_COMMENTAIRE">#REF!</definedName>
    <definedName name="P_Z_1_N_EXEMPLE_CT_RAISONNABLE_FOURNISSEUR_2" localSheetId="11">#REF!</definedName>
    <definedName name="P_Z_1_N_EXEMPLE_CT_RAISONNABLE_FOURNISSEUR_2">#REF!</definedName>
    <definedName name="P_Z_1_N_EXEMPLE_CT_RAISONNABLE_FOURNISSEUR_3" localSheetId="11">#REF!</definedName>
    <definedName name="P_Z_1_N_EXEMPLE_CT_RAISONNABLE_FOURNISSEUR_3">#REF!</definedName>
    <definedName name="P_Z_1_N_EXEMPLE_CT_RAISONNABLE_JUSTIFICATIF_2" localSheetId="11">#REF!</definedName>
    <definedName name="P_Z_1_N_EXEMPLE_CT_RAISONNABLE_JUSTIFICATIF_2">#REF!</definedName>
    <definedName name="P_Z_1_N_EXEMPLE_CT_RAISONNABLE_JUSTIFICATIF_3" localSheetId="11">#REF!</definedName>
    <definedName name="P_Z_1_N_EXEMPLE_CT_RAISONNABLE_JUSTIFICATIF_3">#REF!</definedName>
    <definedName name="P_Z_1_N_EXEMPLE_CT_RAISONNABLE_MARCHE" localSheetId="11">#REF!</definedName>
    <definedName name="P_Z_1_N_EXEMPLE_CT_RAISONNABLE_MARCHE">#REF!</definedName>
    <definedName name="P_Z_1_N_EXEMPLE_CT_RAISONNABLE_MT_HT_2" localSheetId="11">#REF!</definedName>
    <definedName name="P_Z_1_N_EXEMPLE_CT_RAISONNABLE_MT_HT_2">#REF!</definedName>
    <definedName name="P_Z_1_N_EXEMPLE_CT_RAISONNABLE_MT_HT_3" localSheetId="11">#REF!</definedName>
    <definedName name="P_Z_1_N_EXEMPLE_CT_RAISONNABLE_MT_HT_3">#REF!</definedName>
    <definedName name="P_Z_1_N_EXEMPLE_CT_RAISONNABLE_MT_TVA_2" localSheetId="11">#REF!</definedName>
    <definedName name="P_Z_1_N_EXEMPLE_CT_RAISONNABLE_MT_TVA_2">#REF!</definedName>
    <definedName name="P_Z_1_N_EXEMPLE_CT_RAISONNABLE_MT_TVA_3" localSheetId="11">#REF!</definedName>
    <definedName name="P_Z_1_N_EXEMPLE_CT_RAISONNABLE_MT_TVA_3">#REF!</definedName>
    <definedName name="P_Z_1_N_EXEMPLE_DESCRIPTION" localSheetId="11">#REF!</definedName>
    <definedName name="P_Z_1_N_EXEMPLE_DESCRIPTION">#REF!</definedName>
    <definedName name="P_Z_1_N_EXEMPLE_FOURNISSEUR" localSheetId="11">#REF!</definedName>
    <definedName name="P_Z_1_N_EXEMPLE_FOURNISSEUR">#REF!</definedName>
    <definedName name="P_Z_1_N_EXEMPLE_JUSTIFICATIF" localSheetId="11">#REF!</definedName>
    <definedName name="P_Z_1_N_EXEMPLE_JUSTIFICATIF">#REF!</definedName>
    <definedName name="P_Z_1_N_EXEMPLE_MT_PRESENTE_HT" localSheetId="11">#REF!</definedName>
    <definedName name="P_Z_1_N_EXEMPLE_MT_PRESENTE_HT">#REF!</definedName>
    <definedName name="P_Z_1_N_EXEMPLE_MT_PRESENTE_TVA" localSheetId="11">#REF!</definedName>
    <definedName name="P_Z_1_N_EXEMPLE_MT_PRESENTE_TVA">#REF!</definedName>
    <definedName name="P_Z_1_N_EXEMPLE_POSTE" localSheetId="11">#REF!</definedName>
    <definedName name="P_Z_1_N_EXEMPLE_POSTE">#REF!</definedName>
    <definedName name="P_Z_1_N_EXEMPLE_QUANTITE" localSheetId="11">#REF!</definedName>
    <definedName name="P_Z_1_N_EXEMPLE_QUANTITE">#REF!</definedName>
    <definedName name="P_Z_1_N_EXEMPLE_SOUS_OPERATION" localSheetId="11">#REF!</definedName>
    <definedName name="P_Z_1_N_EXEMPLE_SOUS_OPERATION">#REF!</definedName>
    <definedName name="P_Z_1_N_EXEMPLE_UNITE" localSheetId="11">#REF!</definedName>
    <definedName name="P_Z_1_N_EXEMPLE_UNITE">#REF!</definedName>
    <definedName name="P_Z_1_N_INTITULE_DEPENSES_DEVIS_DEFAUT" localSheetId="11">#REF!</definedName>
    <definedName name="P_Z_1_N_INTITULE_DEPENSES_DEVIS_DEFAUT">#REF!</definedName>
    <definedName name="P_Z_1_N_INTITULE_DEPENSES_DEVIS_STANDARD" localSheetId="11">#REF!</definedName>
    <definedName name="P_Z_1_N_INTITULE_DEPENSES_DEVIS_STANDARD">#REF!</definedName>
    <definedName name="P_Z_1_R_LIBELLES_DESCRIPTIONS" localSheetId="11">#REF!</definedName>
    <definedName name="P_Z_1_R_LIBELLES_DESCRIPTIONS">#REF!</definedName>
    <definedName name="P_Z_1_R_LIBELLES_DESCRIPTIONS_1" localSheetId="11">#REF!</definedName>
    <definedName name="P_Z_1_R_LIBELLES_DESCRIPTIONS_1">#REF!</definedName>
    <definedName name="P_Z_1_R_LIBELLES_DESCRIPTIONS_10" localSheetId="11">#REF!</definedName>
    <definedName name="P_Z_1_R_LIBELLES_DESCRIPTIONS_10">#REF!</definedName>
    <definedName name="P_Z_1_R_LIBELLES_DESCRIPTIONS_11" localSheetId="11">#REF!</definedName>
    <definedName name="P_Z_1_R_LIBELLES_DESCRIPTIONS_11">#REF!</definedName>
    <definedName name="P_Z_1_R_LIBELLES_DESCRIPTIONS_12" localSheetId="11">#REF!</definedName>
    <definedName name="P_Z_1_R_LIBELLES_DESCRIPTIONS_12">#REF!</definedName>
    <definedName name="P_Z_1_R_LIBELLES_DESCRIPTIONS_13" localSheetId="11">#REF!</definedName>
    <definedName name="P_Z_1_R_LIBELLES_DESCRIPTIONS_13">#REF!</definedName>
    <definedName name="P_Z_1_R_LIBELLES_DESCRIPTIONS_14" localSheetId="11">#REF!</definedName>
    <definedName name="P_Z_1_R_LIBELLES_DESCRIPTIONS_14">#REF!</definedName>
    <definedName name="P_Z_1_R_LIBELLES_DESCRIPTIONS_15" localSheetId="11">#REF!</definedName>
    <definedName name="P_Z_1_R_LIBELLES_DESCRIPTIONS_15">#REF!</definedName>
    <definedName name="P_Z_1_R_LIBELLES_DESCRIPTIONS_16" localSheetId="11">#REF!</definedName>
    <definedName name="P_Z_1_R_LIBELLES_DESCRIPTIONS_16">#REF!</definedName>
    <definedName name="P_Z_1_R_LIBELLES_DESCRIPTIONS_17" localSheetId="11">#REF!</definedName>
    <definedName name="P_Z_1_R_LIBELLES_DESCRIPTIONS_17">#REF!</definedName>
    <definedName name="P_Z_1_R_LIBELLES_DESCRIPTIONS_18" localSheetId="11">#REF!</definedName>
    <definedName name="P_Z_1_R_LIBELLES_DESCRIPTIONS_18">#REF!</definedName>
    <definedName name="P_Z_1_R_LIBELLES_DESCRIPTIONS_19" localSheetId="11">#REF!</definedName>
    <definedName name="P_Z_1_R_LIBELLES_DESCRIPTIONS_19">#REF!</definedName>
    <definedName name="P_Z_1_R_LIBELLES_DESCRIPTIONS_2" localSheetId="11">#REF!</definedName>
    <definedName name="P_Z_1_R_LIBELLES_DESCRIPTIONS_2">#REF!</definedName>
    <definedName name="P_Z_1_R_LIBELLES_DESCRIPTIONS_20" localSheetId="11">#REF!</definedName>
    <definedName name="P_Z_1_R_LIBELLES_DESCRIPTIONS_20">#REF!</definedName>
    <definedName name="P_Z_1_R_LIBELLES_DESCRIPTIONS_3" localSheetId="11">#REF!</definedName>
    <definedName name="P_Z_1_R_LIBELLES_DESCRIPTIONS_3">#REF!</definedName>
    <definedName name="P_Z_1_R_LIBELLES_DESCRIPTIONS_4" localSheetId="11">#REF!</definedName>
    <definedName name="P_Z_1_R_LIBELLES_DESCRIPTIONS_4">#REF!</definedName>
    <definedName name="P_Z_1_R_LIBELLES_DESCRIPTIONS_5" localSheetId="11">#REF!</definedName>
    <definedName name="P_Z_1_R_LIBELLES_DESCRIPTIONS_5">#REF!</definedName>
    <definedName name="P_Z_1_R_LIBELLES_DESCRIPTIONS_6" localSheetId="11">#REF!</definedName>
    <definedName name="P_Z_1_R_LIBELLES_DESCRIPTIONS_6">#REF!</definedName>
    <definedName name="P_Z_1_R_LIBELLES_DESCRIPTIONS_7" localSheetId="11">#REF!</definedName>
    <definedName name="P_Z_1_R_LIBELLES_DESCRIPTIONS_7">#REF!</definedName>
    <definedName name="P_Z_1_R_LIBELLES_DESCRIPTIONS_8" localSheetId="11">#REF!</definedName>
    <definedName name="P_Z_1_R_LIBELLES_DESCRIPTIONS_8">#REF!</definedName>
    <definedName name="P_Z_1_R_LIBELLES_DESCRIPTIONS_9" localSheetId="11">#REF!</definedName>
    <definedName name="P_Z_1_R_LIBELLES_DESCRIPTIONS_9">#REF!</definedName>
    <definedName name="P_Z_1_R_LIBELLES_POSTES" localSheetId="11">#REF!</definedName>
    <definedName name="P_Z_1_R_LIBELLES_POSTES">#REF!</definedName>
    <definedName name="P_Z_1_R_LIBELLES_POSTES_1" localSheetId="11">#REF!</definedName>
    <definedName name="P_Z_1_R_LIBELLES_POSTES_1">#REF!</definedName>
    <definedName name="P_Z_1_R_LIBELLES_POSTES_10" localSheetId="11">#REF!</definedName>
    <definedName name="P_Z_1_R_LIBELLES_POSTES_10">#REF!</definedName>
    <definedName name="P_Z_1_R_LIBELLES_POSTES_11" localSheetId="11">#REF!</definedName>
    <definedName name="P_Z_1_R_LIBELLES_POSTES_11">#REF!</definedName>
    <definedName name="P_Z_1_R_LIBELLES_POSTES_12" localSheetId="11">#REF!</definedName>
    <definedName name="P_Z_1_R_LIBELLES_POSTES_12">#REF!</definedName>
    <definedName name="P_Z_1_R_LIBELLES_POSTES_13" localSheetId="11">#REF!</definedName>
    <definedName name="P_Z_1_R_LIBELLES_POSTES_13">#REF!</definedName>
    <definedName name="P_Z_1_R_LIBELLES_POSTES_14" localSheetId="11">#REF!</definedName>
    <definedName name="P_Z_1_R_LIBELLES_POSTES_14">#REF!</definedName>
    <definedName name="P_Z_1_R_LIBELLES_POSTES_15" localSheetId="11">#REF!</definedName>
    <definedName name="P_Z_1_R_LIBELLES_POSTES_15">#REF!</definedName>
    <definedName name="P_Z_1_R_LIBELLES_POSTES_16" localSheetId="11">#REF!</definedName>
    <definedName name="P_Z_1_R_LIBELLES_POSTES_16">#REF!</definedName>
    <definedName name="P_Z_1_R_LIBELLES_POSTES_17" localSheetId="11">#REF!</definedName>
    <definedName name="P_Z_1_R_LIBELLES_POSTES_17">#REF!</definedName>
    <definedName name="P_Z_1_R_LIBELLES_POSTES_18" localSheetId="11">#REF!</definedName>
    <definedName name="P_Z_1_R_LIBELLES_POSTES_18">#REF!</definedName>
    <definedName name="P_Z_1_R_LIBELLES_POSTES_19" localSheetId="11">#REF!</definedName>
    <definedName name="P_Z_1_R_LIBELLES_POSTES_19">#REF!</definedName>
    <definedName name="P_Z_1_R_LIBELLES_POSTES_2" localSheetId="11">#REF!</definedName>
    <definedName name="P_Z_1_R_LIBELLES_POSTES_2">#REF!</definedName>
    <definedName name="P_Z_1_R_LIBELLES_POSTES_20" localSheetId="11">#REF!</definedName>
    <definedName name="P_Z_1_R_LIBELLES_POSTES_20">#REF!</definedName>
    <definedName name="P_Z_1_R_LIBELLES_POSTES_3" localSheetId="11">#REF!</definedName>
    <definedName name="P_Z_1_R_LIBELLES_POSTES_3">#REF!</definedName>
    <definedName name="P_Z_1_R_LIBELLES_POSTES_4" localSheetId="11">#REF!</definedName>
    <definedName name="P_Z_1_R_LIBELLES_POSTES_4">#REF!</definedName>
    <definedName name="P_Z_1_R_LIBELLES_POSTES_5" localSheetId="11">#REF!</definedName>
    <definedName name="P_Z_1_R_LIBELLES_POSTES_5">#REF!</definedName>
    <definedName name="P_Z_1_R_LIBELLES_POSTES_6" localSheetId="11">#REF!</definedName>
    <definedName name="P_Z_1_R_LIBELLES_POSTES_6">#REF!</definedName>
    <definedName name="P_Z_1_R_LIBELLES_POSTES_7" localSheetId="11">#REF!</definedName>
    <definedName name="P_Z_1_R_LIBELLES_POSTES_7">#REF!</definedName>
    <definedName name="P_Z_1_R_LIBELLES_POSTES_8" localSheetId="11">#REF!</definedName>
    <definedName name="P_Z_1_R_LIBELLES_POSTES_8">#REF!</definedName>
    <definedName name="P_Z_1_R_LIBELLES_POSTES_9" localSheetId="11">#REF!</definedName>
    <definedName name="P_Z_1_R_LIBELLES_POSTES_9">#REF!</definedName>
    <definedName name="P_Z_1_R_LIBELLES_SOUS_OPERATIONS" localSheetId="11">#REF!</definedName>
    <definedName name="P_Z_1_R_LIBELLES_SOUS_OPERATIONS">#REF!</definedName>
    <definedName name="P_Z_1_R_LIBELLES_SOUS_OPERATIONS_1" localSheetId="11">#REF!</definedName>
    <definedName name="P_Z_1_R_LIBELLES_SOUS_OPERATIONS_1">#REF!</definedName>
    <definedName name="P_Z_1_R_LIBELLES_SOUS_OPERATIONS_10" localSheetId="11">#REF!</definedName>
    <definedName name="P_Z_1_R_LIBELLES_SOUS_OPERATIONS_10">#REF!</definedName>
    <definedName name="P_Z_1_R_LIBELLES_SOUS_OPERATIONS_11" localSheetId="11">#REF!</definedName>
    <definedName name="P_Z_1_R_LIBELLES_SOUS_OPERATIONS_11">#REF!</definedName>
    <definedName name="P_Z_1_R_LIBELLES_SOUS_OPERATIONS_12" localSheetId="11">#REF!</definedName>
    <definedName name="P_Z_1_R_LIBELLES_SOUS_OPERATIONS_12">#REF!</definedName>
    <definedName name="P_Z_1_R_LIBELLES_SOUS_OPERATIONS_13" localSheetId="11">#REF!</definedName>
    <definedName name="P_Z_1_R_LIBELLES_SOUS_OPERATIONS_13">#REF!</definedName>
    <definedName name="P_Z_1_R_LIBELLES_SOUS_OPERATIONS_14" localSheetId="11">#REF!</definedName>
    <definedName name="P_Z_1_R_LIBELLES_SOUS_OPERATIONS_14">#REF!</definedName>
    <definedName name="P_Z_1_R_LIBELLES_SOUS_OPERATIONS_15" localSheetId="11">#REF!</definedName>
    <definedName name="P_Z_1_R_LIBELLES_SOUS_OPERATIONS_15">#REF!</definedName>
    <definedName name="P_Z_1_R_LIBELLES_SOUS_OPERATIONS_16" localSheetId="11">#REF!</definedName>
    <definedName name="P_Z_1_R_LIBELLES_SOUS_OPERATIONS_16">#REF!</definedName>
    <definedName name="P_Z_1_R_LIBELLES_SOUS_OPERATIONS_17" localSheetId="11">#REF!</definedName>
    <definedName name="P_Z_1_R_LIBELLES_SOUS_OPERATIONS_17">#REF!</definedName>
    <definedName name="P_Z_1_R_LIBELLES_SOUS_OPERATIONS_18" localSheetId="11">#REF!</definedName>
    <definedName name="P_Z_1_R_LIBELLES_SOUS_OPERATIONS_18">#REF!</definedName>
    <definedName name="P_Z_1_R_LIBELLES_SOUS_OPERATIONS_19" localSheetId="11">#REF!</definedName>
    <definedName name="P_Z_1_R_LIBELLES_SOUS_OPERATIONS_19">#REF!</definedName>
    <definedName name="P_Z_1_R_LIBELLES_SOUS_OPERATIONS_2" localSheetId="11">#REF!</definedName>
    <definedName name="P_Z_1_R_LIBELLES_SOUS_OPERATIONS_2">#REF!</definedName>
    <definedName name="P_Z_1_R_LIBELLES_SOUS_OPERATIONS_20" localSheetId="11">#REF!</definedName>
    <definedName name="P_Z_1_R_LIBELLES_SOUS_OPERATIONS_20">#REF!</definedName>
    <definedName name="P_Z_1_R_LIBELLES_SOUS_OPERATIONS_3" localSheetId="11">#REF!</definedName>
    <definedName name="P_Z_1_R_LIBELLES_SOUS_OPERATIONS_3">#REF!</definedName>
    <definedName name="P_Z_1_R_LIBELLES_SOUS_OPERATIONS_4" localSheetId="11">#REF!</definedName>
    <definedName name="P_Z_1_R_LIBELLES_SOUS_OPERATIONS_4">#REF!</definedName>
    <definedName name="P_Z_1_R_LIBELLES_SOUS_OPERATIONS_5" localSheetId="11">#REF!</definedName>
    <definedName name="P_Z_1_R_LIBELLES_SOUS_OPERATIONS_5">#REF!</definedName>
    <definedName name="P_Z_1_R_LIBELLES_SOUS_OPERATIONS_6" localSheetId="11">#REF!</definedName>
    <definedName name="P_Z_1_R_LIBELLES_SOUS_OPERATIONS_6">#REF!</definedName>
    <definedName name="P_Z_1_R_LIBELLES_SOUS_OPERATIONS_7" localSheetId="11">#REF!</definedName>
    <definedName name="P_Z_1_R_LIBELLES_SOUS_OPERATIONS_7">#REF!</definedName>
    <definedName name="P_Z_1_R_LIBELLES_SOUS_OPERATIONS_8" localSheetId="11">#REF!</definedName>
    <definedName name="P_Z_1_R_LIBELLES_SOUS_OPERATIONS_8">#REF!</definedName>
    <definedName name="P_Z_1_R_LIBELLES_SOUS_OPERATIONS_9" localSheetId="11">#REF!</definedName>
    <definedName name="P_Z_1_R_LIBELLES_SOUS_OPERATIONS_9">#REF!</definedName>
    <definedName name="P_Z_1_R_LIBELLES_UNITES" localSheetId="11">#REF!</definedName>
    <definedName name="P_Z_1_R_LIBELLES_UNITES">#REF!</definedName>
    <definedName name="P_Z_1_R_LIBELLES_UNITES_1" localSheetId="11">#REF!</definedName>
    <definedName name="P_Z_1_R_LIBELLES_UNITES_1">#REF!</definedName>
    <definedName name="P_Z_1_R_LIBELLES_UNITES_10" localSheetId="11">#REF!</definedName>
    <definedName name="P_Z_1_R_LIBELLES_UNITES_10">#REF!</definedName>
    <definedName name="P_Z_1_R_LIBELLES_UNITES_11" localSheetId="11">#REF!</definedName>
    <definedName name="P_Z_1_R_LIBELLES_UNITES_11">#REF!</definedName>
    <definedName name="P_Z_1_R_LIBELLES_UNITES_12" localSheetId="11">#REF!</definedName>
    <definedName name="P_Z_1_R_LIBELLES_UNITES_12">#REF!</definedName>
    <definedName name="P_Z_1_R_LIBELLES_UNITES_13" localSheetId="11">#REF!</definedName>
    <definedName name="P_Z_1_R_LIBELLES_UNITES_13">#REF!</definedName>
    <definedName name="P_Z_1_R_LIBELLES_UNITES_14" localSheetId="11">#REF!</definedName>
    <definedName name="P_Z_1_R_LIBELLES_UNITES_14">#REF!</definedName>
    <definedName name="P_Z_1_R_LIBELLES_UNITES_15" localSheetId="11">#REF!</definedName>
    <definedName name="P_Z_1_R_LIBELLES_UNITES_15">#REF!</definedName>
    <definedName name="P_Z_1_R_LIBELLES_UNITES_16" localSheetId="11">#REF!</definedName>
    <definedName name="P_Z_1_R_LIBELLES_UNITES_16">#REF!</definedName>
    <definedName name="P_Z_1_R_LIBELLES_UNITES_17" localSheetId="11">#REF!</definedName>
    <definedName name="P_Z_1_R_LIBELLES_UNITES_17">#REF!</definedName>
    <definedName name="P_Z_1_R_LIBELLES_UNITES_18" localSheetId="11">#REF!</definedName>
    <definedName name="P_Z_1_R_LIBELLES_UNITES_18">#REF!</definedName>
    <definedName name="P_Z_1_R_LIBELLES_UNITES_19" localSheetId="11">#REF!</definedName>
    <definedName name="P_Z_1_R_LIBELLES_UNITES_19">#REF!</definedName>
    <definedName name="P_Z_1_R_LIBELLES_UNITES_2" localSheetId="11">#REF!</definedName>
    <definedName name="P_Z_1_R_LIBELLES_UNITES_2">#REF!</definedName>
    <definedName name="P_Z_1_R_LIBELLES_UNITES_20" localSheetId="11">#REF!</definedName>
    <definedName name="P_Z_1_R_LIBELLES_UNITES_20">#REF!</definedName>
    <definedName name="P_Z_1_R_LIBELLES_UNITES_3" localSheetId="11">#REF!</definedName>
    <definedName name="P_Z_1_R_LIBELLES_UNITES_3">#REF!</definedName>
    <definedName name="P_Z_1_R_LIBELLES_UNITES_4" localSheetId="11">#REF!</definedName>
    <definedName name="P_Z_1_R_LIBELLES_UNITES_4">#REF!</definedName>
    <definedName name="P_Z_1_R_LIBELLES_UNITES_5" localSheetId="11">#REF!</definedName>
    <definedName name="P_Z_1_R_LIBELLES_UNITES_5">#REF!</definedName>
    <definedName name="P_Z_1_R_LIBELLES_UNITES_6" localSheetId="11">#REF!</definedName>
    <definedName name="P_Z_1_R_LIBELLES_UNITES_6">#REF!</definedName>
    <definedName name="P_Z_1_R_LIBELLES_UNITES_7" localSheetId="11">#REF!</definedName>
    <definedName name="P_Z_1_R_LIBELLES_UNITES_7">#REF!</definedName>
    <definedName name="P_Z_1_R_LIBELLES_UNITES_8" localSheetId="11">#REF!</definedName>
    <definedName name="P_Z_1_R_LIBELLES_UNITES_8">#REF!</definedName>
    <definedName name="P_Z_1_R_LIBELLES_UNITES_9" localSheetId="11">#REF!</definedName>
    <definedName name="P_Z_1_R_LIBELLES_UNITES_9">#REF!</definedName>
    <definedName name="P_Z_4_B_COLONNE_COMMENTAIRE" localSheetId="11">#REF!</definedName>
    <definedName name="P_Z_4_B_COLONNE_COMMENTAIRE">#REF!</definedName>
    <definedName name="P_Z_4_B_COLONNE_COMMENTAIRE_ACTIVE" localSheetId="11">#REF!</definedName>
    <definedName name="P_Z_4_B_COLONNE_COMMENTAIRE_ACTIVE">#REF!</definedName>
    <definedName name="P_Z_4_B_COLONNE_COMMENTAIRE_INDICATION" localSheetId="11">#REF!</definedName>
    <definedName name="P_Z_4_B_COLONNE_COMMENTAIRE_INDICATION">#REF!</definedName>
    <definedName name="P_Z_4_B_COLONNE_COMMENTAIRE_OBLIGATOIRE" localSheetId="11">#REF!</definedName>
    <definedName name="P_Z_4_B_COLONNE_COMMENTAIRE_OBLIGATOIRE">#REF!</definedName>
    <definedName name="P_Z_4_B_COLONNE_COMMENTAIRE_SI_LIBELLE_STANDARD" localSheetId="11">#REF!</definedName>
    <definedName name="P_Z_4_B_COLONNE_COMMENTAIRE_SI_LIBELLE_STANDARD">#REF!</definedName>
    <definedName name="P_Z_4_B_COLONNE_COUT" localSheetId="11">#REF!</definedName>
    <definedName name="P_Z_4_B_COLONNE_COUT">#REF!</definedName>
    <definedName name="P_Z_4_B_COLONNE_COUT_ELIGIBLE_LIBELLE_STANDARD" localSheetId="11">#REF!</definedName>
    <definedName name="P_Z_4_B_COLONNE_COUT_ELIGIBLE_LIBELLE_STANDARD">#REF!</definedName>
    <definedName name="P_Z_4_B_COLONNE_COUT_INDICATION" localSheetId="11">#REF!</definedName>
    <definedName name="P_Z_4_B_COLONNE_COUT_INDICATION">#REF!</definedName>
    <definedName name="P_Z_4_B_COLONNE_COUT_RAISONNABLE_LIBELLE_STANDARD" localSheetId="11">#REF!</definedName>
    <definedName name="P_Z_4_B_COLONNE_COUT_RAISONNABLE_LIBELLE_STANDARD">#REF!</definedName>
    <definedName name="P_Z_4_B_COLONNE_DESCRIPTION" localSheetId="11">#REF!</definedName>
    <definedName name="P_Z_4_B_COLONNE_DESCRIPTION">#REF!</definedName>
    <definedName name="P_Z_4_B_COLONNE_DESCRIPTION_INDICATION" localSheetId="11">#REF!</definedName>
    <definedName name="P_Z_4_B_COLONNE_DESCRIPTION_INDICATION">#REF!</definedName>
    <definedName name="P_Z_4_B_COLONNE_INTERVENANT" localSheetId="11">#REF!</definedName>
    <definedName name="P_Z_4_B_COLONNE_INTERVENANT">#REF!</definedName>
    <definedName name="P_Z_4_B_COLONNE_INTERVENANT_INDICATION" localSheetId="11">#REF!</definedName>
    <definedName name="P_Z_4_B_COLONNE_INTERVENANT_INDICATION">#REF!</definedName>
    <definedName name="P_Z_4_B_COLONNE_JUSTIFICATIF" localSheetId="11">#REF!</definedName>
    <definedName name="P_Z_4_B_COLONNE_JUSTIFICATIF">#REF!</definedName>
    <definedName name="P_Z_4_B_COLONNE_JUSTIFICATIF_INDICATION" localSheetId="11">#REF!</definedName>
    <definedName name="P_Z_4_B_COLONNE_JUSTIFICATIF_INDICATION">#REF!</definedName>
    <definedName name="P_Z_4_B_COLONNE_MOTIFS_INELIGIBILITE_LIBELLE_STANDARD" localSheetId="11">#REF!</definedName>
    <definedName name="P_Z_4_B_COLONNE_MOTIFS_INELIGIBILITE_LIBELLE_STANDARD">#REF!</definedName>
    <definedName name="P_Z_4_B_COLONNE_MT_ELIGIBLE_LIBELLE_STANDARD" localSheetId="11">#REF!</definedName>
    <definedName name="P_Z_4_B_COLONNE_MT_ELIGIBLE_LIBELLE_STANDARD">#REF!</definedName>
    <definedName name="P_Z_4_B_COLONNE_MT_MAX_ACTIVE" localSheetId="11">#REF!</definedName>
    <definedName name="P_Z_4_B_COLONNE_MT_MAX_ACTIVE">#REF!</definedName>
    <definedName name="P_Z_4_B_COLONNE_MT_MAX_LIBELLE_STANDARD" localSheetId="11">#REF!</definedName>
    <definedName name="P_Z_4_B_COLONNE_MT_MAX_LIBELLE_STANDARD">#REF!</definedName>
    <definedName name="P_Z_4_B_COLONNE_MT_PRESENTE" localSheetId="11">#REF!</definedName>
    <definedName name="P_Z_4_B_COLONNE_MT_PRESENTE">#REF!</definedName>
    <definedName name="P_Z_4_B_COLONNE_MT_PRESENTE_INDICATION" localSheetId="11">#REF!</definedName>
    <definedName name="P_Z_4_B_COLONNE_MT_PRESENTE_INDICATION">#REF!</definedName>
    <definedName name="P_Z_4_B_COLONNE_MT_RAISONNABLE_LIBELLE_STANDARD" localSheetId="11">#REF!</definedName>
    <definedName name="P_Z_4_B_COLONNE_MT_RAISONNABLE_LIBELLE_STANDARD">#REF!</definedName>
    <definedName name="P_Z_4_B_COLONNE_POSTE" localSheetId="11">#REF!</definedName>
    <definedName name="P_Z_4_B_COLONNE_POSTE">#REF!</definedName>
    <definedName name="P_Z_4_B_COLONNE_POSTE_INDICATION" localSheetId="11">#REF!</definedName>
    <definedName name="P_Z_4_B_COLONNE_POSTE_INDICATION">#REF!</definedName>
    <definedName name="P_Z_4_B_COLONNE_QUALIFICATION" localSheetId="11">#REF!</definedName>
    <definedName name="P_Z_4_B_COLONNE_QUALIFICATION">#REF!</definedName>
    <definedName name="P_Z_4_B_COLONNE_QUALIFICATION_ACTIVE" localSheetId="11">#REF!</definedName>
    <definedName name="P_Z_4_B_COLONNE_QUALIFICATION_ACTIVE">#REF!</definedName>
    <definedName name="P_Z_4_B_COLONNE_QUALIFICATION_INDICATION" localSheetId="11">#REF!</definedName>
    <definedName name="P_Z_4_B_COLONNE_QUALIFICATION_INDICATION">#REF!</definedName>
    <definedName name="P_Z_4_B_COLONNE_QUALIFICATION_OBLIGATOIRE" localSheetId="11">#REF!</definedName>
    <definedName name="P_Z_4_B_COLONNE_QUALIFICATION_OBLIGATOIRE">#REF!</definedName>
    <definedName name="P_Z_4_B_COLONNE_SOUS_OPERATION" localSheetId="11">#REF!</definedName>
    <definedName name="P_Z_4_B_COLONNE_SOUS_OPERATION">#REF!</definedName>
    <definedName name="P_Z_4_B_COLONNE_SOUS_OPERATION_INDICATION" localSheetId="11">#REF!</definedName>
    <definedName name="P_Z_4_B_COLONNE_SOUS_OPERATION_INDICATION">#REF!</definedName>
    <definedName name="P_Z_4_B_COLONNE_TEMPS_OPERATION" localSheetId="11">#REF!</definedName>
    <definedName name="P_Z_4_B_COLONNE_TEMPS_OPERATION">#REF!</definedName>
    <definedName name="P_Z_4_B_COLONNE_TEMPS_OPERATION_ELIGIBLE_LIBELLE_STANDARD" localSheetId="11">#REF!</definedName>
    <definedName name="P_Z_4_B_COLONNE_TEMPS_OPERATION_ELIGIBLE_LIBELLE_STANDARD">#REF!</definedName>
    <definedName name="P_Z_4_B_COLONNE_TEMPS_OPERATION_INDICATION" localSheetId="11">#REF!</definedName>
    <definedName name="P_Z_4_B_COLONNE_TEMPS_OPERATION_INDICATION">#REF!</definedName>
    <definedName name="P_Z_4_B_COLONNE_TEMPS_OPERATION_RAISONNABLE_LIBELLE_STANDARD" localSheetId="11">#REF!</definedName>
    <definedName name="P_Z_4_B_COLONNE_TEMPS_OPERATION_RAISONNABLE_LIBELLE_STANDARD">#REF!</definedName>
    <definedName name="P_Z_4_B_COLONNE_TEMPS_PERIODE" localSheetId="11">#REF!</definedName>
    <definedName name="P_Z_4_B_COLONNE_TEMPS_PERIODE">#REF!</definedName>
    <definedName name="P_Z_4_B_COLONNE_TEMPS_PERIODE_ELIGIBLE_LIBELLE_STANDARD" localSheetId="11">#REF!</definedName>
    <definedName name="P_Z_4_B_COLONNE_TEMPS_PERIODE_ELIGIBLE_LIBELLE_STANDARD">#REF!</definedName>
    <definedName name="P_Z_4_B_COLONNE_TEMPS_PERIODE_INDICATION" localSheetId="11">#REF!</definedName>
    <definedName name="P_Z_4_B_COLONNE_TEMPS_PERIODE_INDICATION">#REF!</definedName>
    <definedName name="P_Z_4_B_COLONNE_TEMPS_PERIODE_RAISONNABLE_LIBELLE_STANDARD" localSheetId="11">#REF!</definedName>
    <definedName name="P_Z_4_B_COLONNE_TEMPS_PERIODE_RAISONNABLE_LIBELLE_STANDARD">#REF!</definedName>
    <definedName name="P_Z_4_B_COLONNE_UNITE" localSheetId="11">#REF!</definedName>
    <definedName name="P_Z_4_B_COLONNE_UNITE">#REF!</definedName>
    <definedName name="P_Z_4_B_COLONNE_UNITE_ELIGIBLE_LIBELLE_STANDARD" localSheetId="11">#REF!</definedName>
    <definedName name="P_Z_4_B_COLONNE_UNITE_ELIGIBLE_LIBELLE_STANDARD">#REF!</definedName>
    <definedName name="P_Z_4_B_COLONNE_UNITE_INDICATION" localSheetId="11">#REF!</definedName>
    <definedName name="P_Z_4_B_COLONNE_UNITE_INDICATION">#REF!</definedName>
    <definedName name="P_Z_4_B_EXEMPLE_UTILISATION" localSheetId="11">#REF!</definedName>
    <definedName name="P_Z_4_B_EXEMPLE_UTILISATION">#REF!</definedName>
    <definedName name="P_Z_4_B_INTITULE_DEPENSES_REMUNERATION_STANDARD" localSheetId="11">#REF!</definedName>
    <definedName name="P_Z_4_B_INTITULE_DEPENSES_REMUNERATION_STANDARD">#REF!</definedName>
    <definedName name="P_Z_4_B_UFD" localSheetId="11">#REF!</definedName>
    <definedName name="P_Z_4_B_UFD">#REF!</definedName>
    <definedName name="P_Z_4_B_ULD" localSheetId="11">#REF!</definedName>
    <definedName name="P_Z_4_B_ULD">#REF!</definedName>
    <definedName name="P_Z_4_B_UTILISATION_FILTRE_POSTES" localSheetId="11">#REF!</definedName>
    <definedName name="P_Z_4_B_UTILISATION_FILTRE_POSTES">#REF!</definedName>
    <definedName name="P_Z_4_B_UTILISATION_FILTRE_SOUS_OPERATIONS" localSheetId="11">#REF!</definedName>
    <definedName name="P_Z_4_B_UTILISATION_FILTRE_SOUS_OPERATIONS">#REF!</definedName>
    <definedName name="P_Z_4_B_UTILISATION_FILTRE_UNITES" localSheetId="11">#REF!</definedName>
    <definedName name="P_Z_4_B_UTILISATION_FILTRE_UNITES">#REF!</definedName>
    <definedName name="P_Z_4_N_COLONNE_COMMENTAIRE_INDICATION_SPECIFIQUE" localSheetId="11">#REF!</definedName>
    <definedName name="P_Z_4_N_COLONNE_COMMENTAIRE_INDICATION_SPECIFIQUE">#REF!</definedName>
    <definedName name="P_Z_4_N_COLONNE_COMMENTAIRE_INDICATION_STANDARD" localSheetId="11">#REF!</definedName>
    <definedName name="P_Z_4_N_COLONNE_COMMENTAIRE_INDICATION_STANDARD">#REF!</definedName>
    <definedName name="P_Z_4_N_COLONNE_COMMENTAIRE_SI_LIBELLE_DEFAUT" localSheetId="11">#REF!</definedName>
    <definedName name="P_Z_4_N_COLONNE_COMMENTAIRE_SI_LIBELLE_DEFAUT">#REF!</definedName>
    <definedName name="P_Z_4_N_COLONNE_COMMENTAIRE_SI_LIBELLE_SPECIFIQUE" localSheetId="11">#REF!</definedName>
    <definedName name="P_Z_4_N_COLONNE_COMMENTAIRE_SI_LIBELLE_SPECIFIQUE">#REF!</definedName>
    <definedName name="P_Z_4_N_COLONNE_COMMENTAIRE_SPECIFIQUE" localSheetId="11">#REF!</definedName>
    <definedName name="P_Z_4_N_COLONNE_COMMENTAIRE_SPECIFIQUE">#REF!</definedName>
    <definedName name="P_Z_4_N_COLONNE_COMMENTAIRE_STANDARD" localSheetId="11">#REF!</definedName>
    <definedName name="P_Z_4_N_COLONNE_COMMENTAIRE_STANDARD">#REF!</definedName>
    <definedName name="P_Z_4_N_COLONNE_COUT_ELIGIBLE_LIBELLE_DEFAUT" localSheetId="11">#REF!</definedName>
    <definedName name="P_Z_4_N_COLONNE_COUT_ELIGIBLE_LIBELLE_DEFAUT">#REF!</definedName>
    <definedName name="P_Z_4_N_COLONNE_COUT_ELIGIBLE_LIBELLE_SPECIFIQUE" localSheetId="11">#REF!</definedName>
    <definedName name="P_Z_4_N_COLONNE_COUT_ELIGIBLE_LIBELLE_SPECIFIQUE">#REF!</definedName>
    <definedName name="P_Z_4_N_COLONNE_COUT_INDICATION_SPECIFIQUE" localSheetId="11">#REF!</definedName>
    <definedName name="P_Z_4_N_COLONNE_COUT_INDICATION_SPECIFIQUE">#REF!</definedName>
    <definedName name="P_Z_4_N_COLONNE_COUT_INDICATION_STANDARD" localSheetId="11">#REF!</definedName>
    <definedName name="P_Z_4_N_COLONNE_COUT_INDICATION_STANDARD">#REF!</definedName>
    <definedName name="P_Z_4_N_COLONNE_COUT_RAISONNABLE_LIBELLE_DEFAUT" localSheetId="11">#REF!</definedName>
    <definedName name="P_Z_4_N_COLONNE_COUT_RAISONNABLE_LIBELLE_DEFAUT">#REF!</definedName>
    <definedName name="P_Z_4_N_COLONNE_COUT_RAISONNABLE_LIBELLE_SPECIFIQUE" localSheetId="11">#REF!</definedName>
    <definedName name="P_Z_4_N_COLONNE_COUT_RAISONNABLE_LIBELLE_SPECIFIQUE">#REF!</definedName>
    <definedName name="P_Z_4_N_COLONNE_COUT_SPECIFIQUE" localSheetId="11">#REF!</definedName>
    <definedName name="P_Z_4_N_COLONNE_COUT_SPECIFIQUE">#REF!</definedName>
    <definedName name="P_Z_4_N_COLONNE_COUT_STANDARD" localSheetId="11">#REF!</definedName>
    <definedName name="P_Z_4_N_COLONNE_COUT_STANDARD">#REF!</definedName>
    <definedName name="P_Z_4_N_COLONNE_DESCRIPTION_INDICATION_SPECIFIQUE" localSheetId="11">#REF!</definedName>
    <definedName name="P_Z_4_N_COLONNE_DESCRIPTION_INDICATION_SPECIFIQUE">#REF!</definedName>
    <definedName name="P_Z_4_N_COLONNE_DESCRIPTION_INDICATION_STANDARD" localSheetId="11">#REF!</definedName>
    <definedName name="P_Z_4_N_COLONNE_DESCRIPTION_INDICATION_STANDARD">#REF!</definedName>
    <definedName name="P_Z_4_N_COLONNE_DESCRIPTION_SPECIFIQUE" localSheetId="11">#REF!</definedName>
    <definedName name="P_Z_4_N_COLONNE_DESCRIPTION_SPECIFIQUE">#REF!</definedName>
    <definedName name="P_Z_4_N_COLONNE_DESCRIPTION_STANDARD" localSheetId="11">#REF!</definedName>
    <definedName name="P_Z_4_N_COLONNE_DESCRIPTION_STANDARD">#REF!</definedName>
    <definedName name="P_Z_4_N_COLONNE_INTERVENANT_INDICATION_SPECIFIQUE" localSheetId="11">#REF!</definedName>
    <definedName name="P_Z_4_N_COLONNE_INTERVENANT_INDICATION_SPECIFIQUE">#REF!</definedName>
    <definedName name="P_Z_4_N_COLONNE_INTERVENANT_INDICATION_STANDARD" localSheetId="11">#REF!</definedName>
    <definedName name="P_Z_4_N_COLONNE_INTERVENANT_INDICATION_STANDARD">#REF!</definedName>
    <definedName name="P_Z_4_N_COLONNE_INTERVENANT_SPECIFIQUE" localSheetId="11">#REF!</definedName>
    <definedName name="P_Z_4_N_COLONNE_INTERVENANT_SPECIFIQUE">#REF!</definedName>
    <definedName name="P_Z_4_N_COLONNE_INTERVENANT_STANDARD" localSheetId="11">#REF!</definedName>
    <definedName name="P_Z_4_N_COLONNE_INTERVENANT_STANDARD">#REF!</definedName>
    <definedName name="P_Z_4_N_COLONNE_JUSTIFICATIF_INDICATION_SPECIFIQUE" localSheetId="11">#REF!</definedName>
    <definedName name="P_Z_4_N_COLONNE_JUSTIFICATIF_INDICATION_SPECIFIQUE">#REF!</definedName>
    <definedName name="P_Z_4_N_COLONNE_JUSTIFICATIF_INDICATION_STANDARD" localSheetId="11">#REF!</definedName>
    <definedName name="P_Z_4_N_COLONNE_JUSTIFICATIF_INDICATION_STANDARD">#REF!</definedName>
    <definedName name="P_Z_4_N_COLONNE_JUSTIFICATIF_SPECIFIQUE" localSheetId="11">#REF!</definedName>
    <definedName name="P_Z_4_N_COLONNE_JUSTIFICATIF_SPECIFIQUE">#REF!</definedName>
    <definedName name="P_Z_4_N_COLONNE_JUSTIFICATIF_STANDARD" localSheetId="11">#REF!</definedName>
    <definedName name="P_Z_4_N_COLONNE_JUSTIFICATIF_STANDARD">#REF!</definedName>
    <definedName name="P_Z_4_N_COLONNE_MOTIFS_INELIGIBILITE_LIBELLE_DEFAUT" localSheetId="11">#REF!</definedName>
    <definedName name="P_Z_4_N_COLONNE_MOTIFS_INELIGIBILITE_LIBELLE_DEFAUT">#REF!</definedName>
    <definedName name="P_Z_4_N_COLONNE_MOTIFS_INELIGIBILITE_LIBELLE_SPECIFIQUE" localSheetId="11">#REF!</definedName>
    <definedName name="P_Z_4_N_COLONNE_MOTIFS_INELIGIBILITE_LIBELLE_SPECIFIQUE">#REF!</definedName>
    <definedName name="P_Z_4_N_COLONNE_MT_ELIGIBLE_LIBELLE_DEFAUT" localSheetId="11">#REF!</definedName>
    <definedName name="P_Z_4_N_COLONNE_MT_ELIGIBLE_LIBELLE_DEFAUT">#REF!</definedName>
    <definedName name="P_Z_4_N_COLONNE_MT_ELIGIBLE_LIBELLE_SPECIFIQUE" localSheetId="11">#REF!</definedName>
    <definedName name="P_Z_4_N_COLONNE_MT_ELIGIBLE_LIBELLE_SPECIFIQUE">#REF!</definedName>
    <definedName name="P_Z_4_N_COLONNE_MT_MAX_LIBELLE_DEFAUT" localSheetId="11">#REF!</definedName>
    <definedName name="P_Z_4_N_COLONNE_MT_MAX_LIBELLE_DEFAUT">#REF!</definedName>
    <definedName name="P_Z_4_N_COLONNE_MT_MAX_LIBELLE_SPECIFIQUE" localSheetId="11">#REF!</definedName>
    <definedName name="P_Z_4_N_COLONNE_MT_MAX_LIBELLE_SPECIFIQUE">#REF!</definedName>
    <definedName name="P_Z_4_N_COLONNE_MT_PRESENTE_INDICATION_SPECIFIQUE" localSheetId="11">#REF!</definedName>
    <definedName name="P_Z_4_N_COLONNE_MT_PRESENTE_INDICATION_SPECIFIQUE">#REF!</definedName>
    <definedName name="P_Z_4_N_COLONNE_MT_PRESENTE_INDICATION_STANDARD" localSheetId="11">#REF!</definedName>
    <definedName name="P_Z_4_N_COLONNE_MT_PRESENTE_INDICATION_STANDARD">#REF!</definedName>
    <definedName name="P_Z_4_N_COLONNE_MT_PRESENTE_SPECIFIQUE" localSheetId="11">#REF!</definedName>
    <definedName name="P_Z_4_N_COLONNE_MT_PRESENTE_SPECIFIQUE">#REF!</definedName>
    <definedName name="P_Z_4_N_COLONNE_MT_PRESENTE_STANDARD" localSheetId="11">#REF!</definedName>
    <definedName name="P_Z_4_N_COLONNE_MT_PRESENTE_STANDARD">#REF!</definedName>
    <definedName name="P_Z_4_N_COLONNE_MT_RAISONNABLE_LIBELLE_DEFAUT" localSheetId="11">#REF!</definedName>
    <definedName name="P_Z_4_N_COLONNE_MT_RAISONNABLE_LIBELLE_DEFAUT">#REF!</definedName>
    <definedName name="P_Z_4_N_COLONNE_MT_RAISONNABLE_LIBELLE_SPECIFIQUE" localSheetId="11">#REF!</definedName>
    <definedName name="P_Z_4_N_COLONNE_MT_RAISONNABLE_LIBELLE_SPECIFIQUE">#REF!</definedName>
    <definedName name="P_Z_4_N_COLONNE_POSTE_INDICATION_SPECIFIQUE" localSheetId="11">#REF!</definedName>
    <definedName name="P_Z_4_N_COLONNE_POSTE_INDICATION_SPECIFIQUE">#REF!</definedName>
    <definedName name="P_Z_4_N_COLONNE_POSTE_INDICATION_STANDARD" localSheetId="11">#REF!</definedName>
    <definedName name="P_Z_4_N_COLONNE_POSTE_INDICATION_STANDARD">#REF!</definedName>
    <definedName name="P_Z_4_N_COLONNE_POSTE_SPECIFIQUE" localSheetId="11">#REF!</definedName>
    <definedName name="P_Z_4_N_COLONNE_POSTE_SPECIFIQUE">#REF!</definedName>
    <definedName name="P_Z_4_N_COLONNE_POSTE_STANDARD" localSheetId="11">#REF!</definedName>
    <definedName name="P_Z_4_N_COLONNE_POSTE_STANDARD">#REF!</definedName>
    <definedName name="P_Z_4_N_COLONNE_QUALIFICATION_INDICATION_SPECIFIQUE" localSheetId="11">#REF!</definedName>
    <definedName name="P_Z_4_N_COLONNE_QUALIFICATION_INDICATION_SPECIFIQUE">#REF!</definedName>
    <definedName name="P_Z_4_N_COLONNE_QUALIFICATION_INDICATION_STANDARD" localSheetId="11">#REF!</definedName>
    <definedName name="P_Z_4_N_COLONNE_QUALIFICATION_INDICATION_STANDARD">#REF!</definedName>
    <definedName name="P_Z_4_N_COLONNE_QUALIFICATION_SPECIFIQUE" localSheetId="11">#REF!</definedName>
    <definedName name="P_Z_4_N_COLONNE_QUALIFICATION_SPECIFIQUE">#REF!</definedName>
    <definedName name="P_Z_4_N_COLONNE_QUALIFICATION_STANDARD" localSheetId="11">#REF!</definedName>
    <definedName name="P_Z_4_N_COLONNE_QUALIFICATION_STANDARD">#REF!</definedName>
    <definedName name="P_Z_4_N_COLONNE_SOUS_OPERATION_INDICATION_SPECIFIQUE" localSheetId="11">#REF!</definedName>
    <definedName name="P_Z_4_N_COLONNE_SOUS_OPERATION_INDICATION_SPECIFIQUE">#REF!</definedName>
    <definedName name="P_Z_4_N_COLONNE_SOUS_OPERATION_INDICATION_STANDARD" localSheetId="11">#REF!</definedName>
    <definedName name="P_Z_4_N_COLONNE_SOUS_OPERATION_INDICATION_STANDARD">#REF!</definedName>
    <definedName name="P_Z_4_N_COLONNE_SOUS_OPERATION_SPECIFIQUE" localSheetId="11">#REF!</definedName>
    <definedName name="P_Z_4_N_COLONNE_SOUS_OPERATION_SPECIFIQUE">#REF!</definedName>
    <definedName name="P_Z_4_N_COLONNE_SOUS_OPERATION_STANDARD" localSheetId="11">#REF!</definedName>
    <definedName name="P_Z_4_N_COLONNE_SOUS_OPERATION_STANDARD">#REF!</definedName>
    <definedName name="P_Z_4_N_COLONNE_TEMPS_OPERATION_ELIGIBLE_LIBELLE_DEFAUT" localSheetId="11">#REF!</definedName>
    <definedName name="P_Z_4_N_COLONNE_TEMPS_OPERATION_ELIGIBLE_LIBELLE_DEFAUT">#REF!</definedName>
    <definedName name="P_Z_4_N_COLONNE_TEMPS_OPERATION_ELIGIBLE_LIBELLE_SPECIFIQUE" localSheetId="11">#REF!</definedName>
    <definedName name="P_Z_4_N_COLONNE_TEMPS_OPERATION_ELIGIBLE_LIBELLE_SPECIFIQUE">#REF!</definedName>
    <definedName name="P_Z_4_N_COLONNE_TEMPS_OPERATION_INDICATION_SPECIFIQUE" localSheetId="11">#REF!</definedName>
    <definedName name="P_Z_4_N_COLONNE_TEMPS_OPERATION_INDICATION_SPECIFIQUE">#REF!</definedName>
    <definedName name="P_Z_4_N_COLONNE_TEMPS_OPERATION_INDICATION_STANDARD" localSheetId="11">#REF!</definedName>
    <definedName name="P_Z_4_N_COLONNE_TEMPS_OPERATION_INDICATION_STANDARD">#REF!</definedName>
    <definedName name="P_Z_4_N_COLONNE_TEMPS_OPERATION_RAISONNABLE_LIBELLE_DEFAUT" localSheetId="11">#REF!</definedName>
    <definedName name="P_Z_4_N_COLONNE_TEMPS_OPERATION_RAISONNABLE_LIBELLE_DEFAUT">#REF!</definedName>
    <definedName name="P_Z_4_N_COLONNE_TEMPS_OPERATION_RAISONNABLE_LIBELLE_SPECIFIQUE" localSheetId="11">#REF!</definedName>
    <definedName name="P_Z_4_N_COLONNE_TEMPS_OPERATION_RAISONNABLE_LIBELLE_SPECIFIQUE">#REF!</definedName>
    <definedName name="P_Z_4_N_COLONNE_TEMPS_OPERATION_SPECIFIQUE" localSheetId="11">#REF!</definedName>
    <definedName name="P_Z_4_N_COLONNE_TEMPS_OPERATION_SPECIFIQUE">#REF!</definedName>
    <definedName name="P_Z_4_N_COLONNE_TEMPS_OPERATION_STANDARD" localSheetId="11">#REF!</definedName>
    <definedName name="P_Z_4_N_COLONNE_TEMPS_OPERATION_STANDARD">#REF!</definedName>
    <definedName name="P_Z_4_N_COLONNE_TEMPS_PERIODE_ELIGIBLE_LIBELLE_DEFAUT" localSheetId="11">#REF!</definedName>
    <definedName name="P_Z_4_N_COLONNE_TEMPS_PERIODE_ELIGIBLE_LIBELLE_DEFAUT">#REF!</definedName>
    <definedName name="P_Z_4_N_COLONNE_TEMPS_PERIODE_ELIGIBLE_LIBELLE_SPECIFIQUE" localSheetId="11">#REF!</definedName>
    <definedName name="P_Z_4_N_COLONNE_TEMPS_PERIODE_ELIGIBLE_LIBELLE_SPECIFIQUE">#REF!</definedName>
    <definedName name="P_Z_4_N_COLONNE_TEMPS_PERIODE_INDICATION_SPECIFIQUE" localSheetId="11">#REF!</definedName>
    <definedName name="P_Z_4_N_COLONNE_TEMPS_PERIODE_INDICATION_SPECIFIQUE">#REF!</definedName>
    <definedName name="P_Z_4_N_COLONNE_TEMPS_PERIODE_INDICATION_STANDARD" localSheetId="11">#REF!</definedName>
    <definedName name="P_Z_4_N_COLONNE_TEMPS_PERIODE_INDICATION_STANDARD">#REF!</definedName>
    <definedName name="P_Z_4_N_COLONNE_TEMPS_PERIODE_RAISONNABLE_LIBELLE_DEFAUT" localSheetId="11">#REF!</definedName>
    <definedName name="P_Z_4_N_COLONNE_TEMPS_PERIODE_RAISONNABLE_LIBELLE_DEFAUT">#REF!</definedName>
    <definedName name="P_Z_4_N_COLONNE_TEMPS_PERIODE_RAISONNABLE_LIBELLE_SPECIFIQUE" localSheetId="11">#REF!</definedName>
    <definedName name="P_Z_4_N_COLONNE_TEMPS_PERIODE_RAISONNABLE_LIBELLE_SPECIFIQUE">#REF!</definedName>
    <definedName name="P_Z_4_N_COLONNE_TEMPS_PERIODE_SPECIFIQUE" localSheetId="11">#REF!</definedName>
    <definedName name="P_Z_4_N_COLONNE_TEMPS_PERIODE_SPECIFIQUE">#REF!</definedName>
    <definedName name="P_Z_4_N_COLONNE_TEMPS_PERIODE_STANDARD" localSheetId="11">#REF!</definedName>
    <definedName name="P_Z_4_N_COLONNE_TEMPS_PERIODE_STANDARD">#REF!</definedName>
    <definedName name="P_Z_4_N_COLONNE_UNITE_ELIGIBLE_LIBELLE_DEFAUT" localSheetId="11">#REF!</definedName>
    <definedName name="P_Z_4_N_COLONNE_UNITE_ELIGIBLE_LIBELLE_DEFAUT">#REF!</definedName>
    <definedName name="P_Z_4_N_COLONNE_UNITE_ELIGIBLE_LIBELLE_SPECIFIQUE" localSheetId="11">#REF!</definedName>
    <definedName name="P_Z_4_N_COLONNE_UNITE_ELIGIBLE_LIBELLE_SPECIFIQUE">#REF!</definedName>
    <definedName name="P_Z_4_N_COLONNE_UNITE_INDICATION_SPECIFIQUE" localSheetId="11">#REF!</definedName>
    <definedName name="P_Z_4_N_COLONNE_UNITE_INDICATION_SPECIFIQUE">#REF!</definedName>
    <definedName name="P_Z_4_N_COLONNE_UNITE_INDICATION_STANDARD" localSheetId="11">#REF!</definedName>
    <definedName name="P_Z_4_N_COLONNE_UNITE_INDICATION_STANDARD">#REF!</definedName>
    <definedName name="P_Z_4_N_COLONNE_UNITE_SPECIFIQUE" localSheetId="11">#REF!</definedName>
    <definedName name="P_Z_4_N_COLONNE_UNITE_SPECIFIQUE">#REF!</definedName>
    <definedName name="P_Z_4_N_COLONNE_UNITE_STANDARD" localSheetId="11">#REF!</definedName>
    <definedName name="P_Z_4_N_COLONNE_UNITE_STANDARD">#REF!</definedName>
    <definedName name="P_Z_4_N_CONSIGNE_DEPENSES_REMUNERATION" localSheetId="11">#REF!</definedName>
    <definedName name="P_Z_4_N_CONSIGNE_DEPENSES_REMUNERATION">#REF!</definedName>
    <definedName name="P_Z_4_N_EXEMPLE_COMMENTAIRE" localSheetId="11">#REF!</definedName>
    <definedName name="P_Z_4_N_EXEMPLE_COMMENTAIRE">#REF!</definedName>
    <definedName name="P_Z_4_N_EXEMPLE_COUT" localSheetId="11">#REF!</definedName>
    <definedName name="P_Z_4_N_EXEMPLE_COUT">#REF!</definedName>
    <definedName name="P_Z_4_N_EXEMPLE_DESCRIPTION" localSheetId="11">#REF!</definedName>
    <definedName name="P_Z_4_N_EXEMPLE_DESCRIPTION">#REF!</definedName>
    <definedName name="P_Z_4_N_EXEMPLE_INTERVENANT" localSheetId="11">#REF!</definedName>
    <definedName name="P_Z_4_N_EXEMPLE_INTERVENANT">#REF!</definedName>
    <definedName name="P_Z_4_N_EXEMPLE_JUSTIFICATIF" localSheetId="11">#REF!</definedName>
    <definedName name="P_Z_4_N_EXEMPLE_JUSTIFICATIF">#REF!</definedName>
    <definedName name="P_Z_4_N_EXEMPLE_MT_PRESENTE" localSheetId="11">#REF!</definedName>
    <definedName name="P_Z_4_N_EXEMPLE_MT_PRESENTE">#REF!</definedName>
    <definedName name="P_Z_4_N_EXEMPLE_POSTE" localSheetId="11">#REF!</definedName>
    <definedName name="P_Z_4_N_EXEMPLE_POSTE">#REF!</definedName>
    <definedName name="P_Z_4_N_EXEMPLE_QUALIFICATION" localSheetId="11">#REF!</definedName>
    <definedName name="P_Z_4_N_EXEMPLE_QUALIFICATION">#REF!</definedName>
    <definedName name="P_Z_4_N_EXEMPLE_SOUS_OPERATION" localSheetId="11">#REF!</definedName>
    <definedName name="P_Z_4_N_EXEMPLE_SOUS_OPERATION">#REF!</definedName>
    <definedName name="P_Z_4_N_EXEMPLE_TEMPS_OPERATION" localSheetId="11">#REF!</definedName>
    <definedName name="P_Z_4_N_EXEMPLE_TEMPS_OPERATION">#REF!</definedName>
    <definedName name="P_Z_4_N_EXEMPLE_TEMPS_PERIODE" localSheetId="11">#REF!</definedName>
    <definedName name="P_Z_4_N_EXEMPLE_TEMPS_PERIODE">#REF!</definedName>
    <definedName name="P_Z_4_N_EXEMPLE_UNITE" localSheetId="11">#REF!</definedName>
    <definedName name="P_Z_4_N_EXEMPLE_UNITE">#REF!</definedName>
    <definedName name="P_Z_4_N_INTITULE_DEPENSES_REMUNERATION_DEFAUT" localSheetId="11">#REF!</definedName>
    <definedName name="P_Z_4_N_INTITULE_DEPENSES_REMUNERATION_DEFAUT">#REF!</definedName>
    <definedName name="P_Z_4_N_INTITULE_DEPENSES_REMUNERATION_STANDARD" localSheetId="11">#REF!</definedName>
    <definedName name="P_Z_4_N_INTITULE_DEPENSES_REMUNERATION_STANDARD">#REF!</definedName>
    <definedName name="P_Z_4_R_LIBELLES_DESCRIPTIONS" localSheetId="11">#REF!</definedName>
    <definedName name="P_Z_4_R_LIBELLES_DESCRIPTIONS">#REF!</definedName>
    <definedName name="P_Z_4_R_LIBELLES_DESCRIPTIONS_1" localSheetId="11">#REF!</definedName>
    <definedName name="P_Z_4_R_LIBELLES_DESCRIPTIONS_1">#REF!</definedName>
    <definedName name="P_Z_4_R_LIBELLES_DESCRIPTIONS_10" localSheetId="11">#REF!</definedName>
    <definedName name="P_Z_4_R_LIBELLES_DESCRIPTIONS_10">#REF!</definedName>
    <definedName name="P_Z_4_R_LIBELLES_DESCRIPTIONS_11" localSheetId="11">#REF!</definedName>
    <definedName name="P_Z_4_R_LIBELLES_DESCRIPTIONS_11">#REF!</definedName>
    <definedName name="P_Z_4_R_LIBELLES_DESCRIPTIONS_12" localSheetId="11">#REF!</definedName>
    <definedName name="P_Z_4_R_LIBELLES_DESCRIPTIONS_12">#REF!</definedName>
    <definedName name="P_Z_4_R_LIBELLES_DESCRIPTIONS_13" localSheetId="11">#REF!</definedName>
    <definedName name="P_Z_4_R_LIBELLES_DESCRIPTIONS_13">#REF!</definedName>
    <definedName name="P_Z_4_R_LIBELLES_DESCRIPTIONS_14" localSheetId="11">#REF!</definedName>
    <definedName name="P_Z_4_R_LIBELLES_DESCRIPTIONS_14">#REF!</definedName>
    <definedName name="P_Z_4_R_LIBELLES_DESCRIPTIONS_15" localSheetId="11">#REF!</definedName>
    <definedName name="P_Z_4_R_LIBELLES_DESCRIPTIONS_15">#REF!</definedName>
    <definedName name="P_Z_4_R_LIBELLES_DESCRIPTIONS_16" localSheetId="11">#REF!</definedName>
    <definedName name="P_Z_4_R_LIBELLES_DESCRIPTIONS_16">#REF!</definedName>
    <definedName name="P_Z_4_R_LIBELLES_DESCRIPTIONS_17" localSheetId="11">#REF!</definedName>
    <definedName name="P_Z_4_R_LIBELLES_DESCRIPTIONS_17">#REF!</definedName>
    <definedName name="P_Z_4_R_LIBELLES_DESCRIPTIONS_18" localSheetId="11">#REF!</definedName>
    <definedName name="P_Z_4_R_LIBELLES_DESCRIPTIONS_18">#REF!</definedName>
    <definedName name="P_Z_4_R_LIBELLES_DESCRIPTIONS_19" localSheetId="11">#REF!</definedName>
    <definedName name="P_Z_4_R_LIBELLES_DESCRIPTIONS_19">#REF!</definedName>
    <definedName name="P_Z_4_R_LIBELLES_DESCRIPTIONS_2" localSheetId="11">#REF!</definedName>
    <definedName name="P_Z_4_R_LIBELLES_DESCRIPTIONS_2">#REF!</definedName>
    <definedName name="P_Z_4_R_LIBELLES_DESCRIPTIONS_20" localSheetId="11">#REF!</definedName>
    <definedName name="P_Z_4_R_LIBELLES_DESCRIPTIONS_20">#REF!</definedName>
    <definedName name="P_Z_4_R_LIBELLES_DESCRIPTIONS_3" localSheetId="11">#REF!</definedName>
    <definedName name="P_Z_4_R_LIBELLES_DESCRIPTIONS_3">#REF!</definedName>
    <definedName name="P_Z_4_R_LIBELLES_DESCRIPTIONS_4" localSheetId="11">#REF!</definedName>
    <definedName name="P_Z_4_R_LIBELLES_DESCRIPTIONS_4">#REF!</definedName>
    <definedName name="P_Z_4_R_LIBELLES_DESCRIPTIONS_5" localSheetId="11">#REF!</definedName>
    <definedName name="P_Z_4_R_LIBELLES_DESCRIPTIONS_5">#REF!</definedName>
    <definedName name="P_Z_4_R_LIBELLES_DESCRIPTIONS_6" localSheetId="11">#REF!</definedName>
    <definedName name="P_Z_4_R_LIBELLES_DESCRIPTIONS_6">#REF!</definedName>
    <definedName name="P_Z_4_R_LIBELLES_DESCRIPTIONS_7" localSheetId="11">#REF!</definedName>
    <definedName name="P_Z_4_R_LIBELLES_DESCRIPTIONS_7">#REF!</definedName>
    <definedName name="P_Z_4_R_LIBELLES_DESCRIPTIONS_8" localSheetId="11">#REF!</definedName>
    <definedName name="P_Z_4_R_LIBELLES_DESCRIPTIONS_8">#REF!</definedName>
    <definedName name="P_Z_4_R_LIBELLES_DESCRIPTIONS_9" localSheetId="11">#REF!</definedName>
    <definedName name="P_Z_4_R_LIBELLES_DESCRIPTIONS_9">#REF!</definedName>
    <definedName name="P_Z_4_R_LIBELLES_POSTES" localSheetId="11">#REF!</definedName>
    <definedName name="P_Z_4_R_LIBELLES_POSTES">#REF!</definedName>
    <definedName name="P_Z_4_R_LIBELLES_POSTES_1" localSheetId="11">#REF!</definedName>
    <definedName name="P_Z_4_R_LIBELLES_POSTES_1">#REF!</definedName>
    <definedName name="P_Z_4_R_LIBELLES_POSTES_10" localSheetId="11">#REF!</definedName>
    <definedName name="P_Z_4_R_LIBELLES_POSTES_10">#REF!</definedName>
    <definedName name="P_Z_4_R_LIBELLES_POSTES_11" localSheetId="11">#REF!</definedName>
    <definedName name="P_Z_4_R_LIBELLES_POSTES_11">#REF!</definedName>
    <definedName name="P_Z_4_R_LIBELLES_POSTES_12" localSheetId="11">#REF!</definedName>
    <definedName name="P_Z_4_R_LIBELLES_POSTES_12">#REF!</definedName>
    <definedName name="P_Z_4_R_LIBELLES_POSTES_13" localSheetId="11">#REF!</definedName>
    <definedName name="P_Z_4_R_LIBELLES_POSTES_13">#REF!</definedName>
    <definedName name="P_Z_4_R_LIBELLES_POSTES_14" localSheetId="11">#REF!</definedName>
    <definedName name="P_Z_4_R_LIBELLES_POSTES_14">#REF!</definedName>
    <definedName name="P_Z_4_R_LIBELLES_POSTES_15" localSheetId="11">#REF!</definedName>
    <definedName name="P_Z_4_R_LIBELLES_POSTES_15">#REF!</definedName>
    <definedName name="P_Z_4_R_LIBELLES_POSTES_16" localSheetId="11">#REF!</definedName>
    <definedName name="P_Z_4_R_LIBELLES_POSTES_16">#REF!</definedName>
    <definedName name="P_Z_4_R_LIBELLES_POSTES_17" localSheetId="11">#REF!</definedName>
    <definedName name="P_Z_4_R_LIBELLES_POSTES_17">#REF!</definedName>
    <definedName name="P_Z_4_R_LIBELLES_POSTES_18" localSheetId="11">#REF!</definedName>
    <definedName name="P_Z_4_R_LIBELLES_POSTES_18">#REF!</definedName>
    <definedName name="P_Z_4_R_LIBELLES_POSTES_19" localSheetId="11">#REF!</definedName>
    <definedName name="P_Z_4_R_LIBELLES_POSTES_19">#REF!</definedName>
    <definedName name="P_Z_4_R_LIBELLES_POSTES_2" localSheetId="11">#REF!</definedName>
    <definedName name="P_Z_4_R_LIBELLES_POSTES_2">#REF!</definedName>
    <definedName name="P_Z_4_R_LIBELLES_POSTES_20" localSheetId="11">#REF!</definedName>
    <definedName name="P_Z_4_R_LIBELLES_POSTES_20">#REF!</definedName>
    <definedName name="P_Z_4_R_LIBELLES_POSTES_3" localSheetId="11">#REF!</definedName>
    <definedName name="P_Z_4_R_LIBELLES_POSTES_3">#REF!</definedName>
    <definedName name="P_Z_4_R_LIBELLES_POSTES_4" localSheetId="11">#REF!</definedName>
    <definedName name="P_Z_4_R_LIBELLES_POSTES_4">#REF!</definedName>
    <definedName name="P_Z_4_R_LIBELLES_POSTES_5" localSheetId="11">#REF!</definedName>
    <definedName name="P_Z_4_R_LIBELLES_POSTES_5">#REF!</definedName>
    <definedName name="P_Z_4_R_LIBELLES_POSTES_6" localSheetId="11">#REF!</definedName>
    <definedName name="P_Z_4_R_LIBELLES_POSTES_6">#REF!</definedName>
    <definedName name="P_Z_4_R_LIBELLES_POSTES_7" localSheetId="11">#REF!</definedName>
    <definedName name="P_Z_4_R_LIBELLES_POSTES_7">#REF!</definedName>
    <definedName name="P_Z_4_R_LIBELLES_POSTES_8" localSheetId="11">#REF!</definedName>
    <definedName name="P_Z_4_R_LIBELLES_POSTES_8">#REF!</definedName>
    <definedName name="P_Z_4_R_LIBELLES_POSTES_9" localSheetId="11">#REF!</definedName>
    <definedName name="P_Z_4_R_LIBELLES_POSTES_9">#REF!</definedName>
    <definedName name="P_Z_4_R_LIBELLES_SOUS_OPERATIONS" localSheetId="11">#REF!</definedName>
    <definedName name="P_Z_4_R_LIBELLES_SOUS_OPERATIONS">#REF!</definedName>
    <definedName name="P_Z_4_R_LIBELLES_SOUS_OPERATIONS_1" localSheetId="11">#REF!</definedName>
    <definedName name="P_Z_4_R_LIBELLES_SOUS_OPERATIONS_1">#REF!</definedName>
    <definedName name="P_Z_4_R_LIBELLES_SOUS_OPERATIONS_10" localSheetId="11">#REF!</definedName>
    <definedName name="P_Z_4_R_LIBELLES_SOUS_OPERATIONS_10">#REF!</definedName>
    <definedName name="P_Z_4_R_LIBELLES_SOUS_OPERATIONS_11" localSheetId="11">#REF!</definedName>
    <definedName name="P_Z_4_R_LIBELLES_SOUS_OPERATIONS_11">#REF!</definedName>
    <definedName name="P_Z_4_R_LIBELLES_SOUS_OPERATIONS_12" localSheetId="11">#REF!</definedName>
    <definedName name="P_Z_4_R_LIBELLES_SOUS_OPERATIONS_12">#REF!</definedName>
    <definedName name="P_Z_4_R_LIBELLES_SOUS_OPERATIONS_13" localSheetId="11">#REF!</definedName>
    <definedName name="P_Z_4_R_LIBELLES_SOUS_OPERATIONS_13">#REF!</definedName>
    <definedName name="P_Z_4_R_LIBELLES_SOUS_OPERATIONS_14" localSheetId="11">#REF!</definedName>
    <definedName name="P_Z_4_R_LIBELLES_SOUS_OPERATIONS_14">#REF!</definedName>
    <definedName name="P_Z_4_R_LIBELLES_SOUS_OPERATIONS_15" localSheetId="11">#REF!</definedName>
    <definedName name="P_Z_4_R_LIBELLES_SOUS_OPERATIONS_15">#REF!</definedName>
    <definedName name="P_Z_4_R_LIBELLES_SOUS_OPERATIONS_16" localSheetId="11">#REF!</definedName>
    <definedName name="P_Z_4_R_LIBELLES_SOUS_OPERATIONS_16">#REF!</definedName>
    <definedName name="P_Z_4_R_LIBELLES_SOUS_OPERATIONS_17" localSheetId="11">#REF!</definedName>
    <definedName name="P_Z_4_R_LIBELLES_SOUS_OPERATIONS_17">#REF!</definedName>
    <definedName name="P_Z_4_R_LIBELLES_SOUS_OPERATIONS_18" localSheetId="11">#REF!</definedName>
    <definedName name="P_Z_4_R_LIBELLES_SOUS_OPERATIONS_18">#REF!</definedName>
    <definedName name="P_Z_4_R_LIBELLES_SOUS_OPERATIONS_19" localSheetId="11">#REF!</definedName>
    <definedName name="P_Z_4_R_LIBELLES_SOUS_OPERATIONS_19">#REF!</definedName>
    <definedName name="P_Z_4_R_LIBELLES_SOUS_OPERATIONS_2" localSheetId="11">#REF!</definedName>
    <definedName name="P_Z_4_R_LIBELLES_SOUS_OPERATIONS_2">#REF!</definedName>
    <definedName name="P_Z_4_R_LIBELLES_SOUS_OPERATIONS_20" localSheetId="11">#REF!</definedName>
    <definedName name="P_Z_4_R_LIBELLES_SOUS_OPERATIONS_20">#REF!</definedName>
    <definedName name="P_Z_4_R_LIBELLES_SOUS_OPERATIONS_3" localSheetId="11">#REF!</definedName>
    <definedName name="P_Z_4_R_LIBELLES_SOUS_OPERATIONS_3">#REF!</definedName>
    <definedName name="P_Z_4_R_LIBELLES_SOUS_OPERATIONS_4" localSheetId="11">#REF!</definedName>
    <definedName name="P_Z_4_R_LIBELLES_SOUS_OPERATIONS_4">#REF!</definedName>
    <definedName name="P_Z_4_R_LIBELLES_SOUS_OPERATIONS_5" localSheetId="11">#REF!</definedName>
    <definedName name="P_Z_4_R_LIBELLES_SOUS_OPERATIONS_5">#REF!</definedName>
    <definedName name="P_Z_4_R_LIBELLES_SOUS_OPERATIONS_6" localSheetId="11">#REF!</definedName>
    <definedName name="P_Z_4_R_LIBELLES_SOUS_OPERATIONS_6">#REF!</definedName>
    <definedName name="P_Z_4_R_LIBELLES_SOUS_OPERATIONS_7" localSheetId="11">#REF!</definedName>
    <definedName name="P_Z_4_R_LIBELLES_SOUS_OPERATIONS_7">#REF!</definedName>
    <definedName name="P_Z_4_R_LIBELLES_SOUS_OPERATIONS_8" localSheetId="11">#REF!</definedName>
    <definedName name="P_Z_4_R_LIBELLES_SOUS_OPERATIONS_8">#REF!</definedName>
    <definedName name="P_Z_4_R_LIBELLES_SOUS_OPERATIONS_9" localSheetId="11">#REF!</definedName>
    <definedName name="P_Z_4_R_LIBELLES_SOUS_OPERATIONS_9">#REF!</definedName>
    <definedName name="P_Z_4_R_LIBELLES_UNITES" localSheetId="11">#REF!</definedName>
    <definedName name="P_Z_4_R_LIBELLES_UNITES">#REF!</definedName>
    <definedName name="P_Z_4_R_LIBELLES_UNITES_1" localSheetId="11">#REF!</definedName>
    <definedName name="P_Z_4_R_LIBELLES_UNITES_1">#REF!</definedName>
    <definedName name="P_Z_4_R_LIBELLES_UNITES_10" localSheetId="11">#REF!</definedName>
    <definedName name="P_Z_4_R_LIBELLES_UNITES_10">#REF!</definedName>
    <definedName name="P_Z_4_R_LIBELLES_UNITES_11" localSheetId="11">#REF!</definedName>
    <definedName name="P_Z_4_R_LIBELLES_UNITES_11">#REF!</definedName>
    <definedName name="P_Z_4_R_LIBELLES_UNITES_12" localSheetId="11">#REF!</definedName>
    <definedName name="P_Z_4_R_LIBELLES_UNITES_12">#REF!</definedName>
    <definedName name="P_Z_4_R_LIBELLES_UNITES_13" localSheetId="11">#REF!</definedName>
    <definedName name="P_Z_4_R_LIBELLES_UNITES_13">#REF!</definedName>
    <definedName name="P_Z_4_R_LIBELLES_UNITES_14" localSheetId="11">#REF!</definedName>
    <definedName name="P_Z_4_R_LIBELLES_UNITES_14">#REF!</definedName>
    <definedName name="P_Z_4_R_LIBELLES_UNITES_15" localSheetId="11">#REF!</definedName>
    <definedName name="P_Z_4_R_LIBELLES_UNITES_15">#REF!</definedName>
    <definedName name="P_Z_4_R_LIBELLES_UNITES_16" localSheetId="11">#REF!</definedName>
    <definedName name="P_Z_4_R_LIBELLES_UNITES_16">#REF!</definedName>
    <definedName name="P_Z_4_R_LIBELLES_UNITES_17" localSheetId="11">#REF!</definedName>
    <definedName name="P_Z_4_R_LIBELLES_UNITES_17">#REF!</definedName>
    <definedName name="P_Z_4_R_LIBELLES_UNITES_18" localSheetId="11">#REF!</definedName>
    <definedName name="P_Z_4_R_LIBELLES_UNITES_18">#REF!</definedName>
    <definedName name="P_Z_4_R_LIBELLES_UNITES_19" localSheetId="11">#REF!</definedName>
    <definedName name="P_Z_4_R_LIBELLES_UNITES_19">#REF!</definedName>
    <definedName name="P_Z_4_R_LIBELLES_UNITES_2" localSheetId="11">#REF!</definedName>
    <definedName name="P_Z_4_R_LIBELLES_UNITES_2">#REF!</definedName>
    <definedName name="P_Z_4_R_LIBELLES_UNITES_20" localSheetId="11">#REF!</definedName>
    <definedName name="P_Z_4_R_LIBELLES_UNITES_20">#REF!</definedName>
    <definedName name="P_Z_4_R_LIBELLES_UNITES_3" localSheetId="11">#REF!</definedName>
    <definedName name="P_Z_4_R_LIBELLES_UNITES_3">#REF!</definedName>
    <definedName name="P_Z_4_R_LIBELLES_UNITES_4" localSheetId="11">#REF!</definedName>
    <definedName name="P_Z_4_R_LIBELLES_UNITES_4">#REF!</definedName>
    <definedName name="P_Z_4_R_LIBELLES_UNITES_5" localSheetId="11">#REF!</definedName>
    <definedName name="P_Z_4_R_LIBELLES_UNITES_5">#REF!</definedName>
    <definedName name="P_Z_4_R_LIBELLES_UNITES_6" localSheetId="11">#REF!</definedName>
    <definedName name="P_Z_4_R_LIBELLES_UNITES_6">#REF!</definedName>
    <definedName name="P_Z_4_R_LIBELLES_UNITES_7" localSheetId="11">#REF!</definedName>
    <definedName name="P_Z_4_R_LIBELLES_UNITES_7">#REF!</definedName>
    <definedName name="P_Z_4_R_LIBELLES_UNITES_8" localSheetId="11">#REF!</definedName>
    <definedName name="P_Z_4_R_LIBELLES_UNITES_8">#REF!</definedName>
    <definedName name="P_Z_4_R_LIBELLES_UNITES_9" localSheetId="11">#REF!</definedName>
    <definedName name="P_Z_4_R_LIBELLES_UNITES_9">#REF!</definedName>
    <definedName name="P_Z_8_B_COLONNE_BAREME" localSheetId="11">#REF!</definedName>
    <definedName name="P_Z_8_B_COLONNE_BAREME">#REF!</definedName>
    <definedName name="P_Z_8_B_COLONNE_BAREME_INDICATION" localSheetId="11">#REF!</definedName>
    <definedName name="P_Z_8_B_COLONNE_BAREME_INDICATION">#REF!</definedName>
    <definedName name="P_Z_8_B_COLONNE_COMMENTAIRE" localSheetId="11">#REF!</definedName>
    <definedName name="P_Z_8_B_COLONNE_COMMENTAIRE">#REF!</definedName>
    <definedName name="P_Z_8_B_COLONNE_COMMENTAIRE_ACTIVE" localSheetId="11">#REF!</definedName>
    <definedName name="P_Z_8_B_COLONNE_COMMENTAIRE_ACTIVE">#REF!</definedName>
    <definedName name="P_Z_8_B_COLONNE_COMMENTAIRE_INDICATION" localSheetId="11">#REF!</definedName>
    <definedName name="P_Z_8_B_COLONNE_COMMENTAIRE_INDICATION">#REF!</definedName>
    <definedName name="P_Z_8_B_COLONNE_COMMENTAIRE_OBLIGATOIRE" localSheetId="11">#REF!</definedName>
    <definedName name="P_Z_8_B_COLONNE_COMMENTAIRE_OBLIGATOIRE">#REF!</definedName>
    <definedName name="P_Z_8_B_COLONNE_COMMENTAIRE_SI_LIBELLE_STANDARD" localSheetId="11">#REF!</definedName>
    <definedName name="P_Z_8_B_COLONNE_COMMENTAIRE_SI_LIBELLE_STANDARD">#REF!</definedName>
    <definedName name="P_Z_8_B_COLONNE_DESCRIPTION" localSheetId="11">#REF!</definedName>
    <definedName name="P_Z_8_B_COLONNE_DESCRIPTION">#REF!</definedName>
    <definedName name="P_Z_8_B_COLONNE_DESCRIPTION_INDICATION" localSheetId="11">#REF!</definedName>
    <definedName name="P_Z_8_B_COLONNE_DESCRIPTION_INDICATION">#REF!</definedName>
    <definedName name="P_Z_8_B_COLONNE_JUSTIFICATIF" localSheetId="11">#REF!</definedName>
    <definedName name="P_Z_8_B_COLONNE_JUSTIFICATIF">#REF!</definedName>
    <definedName name="P_Z_8_B_COLONNE_JUSTIFICATIF_ACTIVE" localSheetId="11">#REF!</definedName>
    <definedName name="P_Z_8_B_COLONNE_JUSTIFICATIF_ACTIVE">#REF!</definedName>
    <definedName name="P_Z_8_B_COLONNE_JUSTIFICATIF_INDICATION" localSheetId="11">#REF!</definedName>
    <definedName name="P_Z_8_B_COLONNE_JUSTIFICATIF_INDICATION">#REF!</definedName>
    <definedName name="P_Z_8_B_COLONNE_JUSTIFICATIF_OBLIGATOIRE" localSheetId="11">#REF!</definedName>
    <definedName name="P_Z_8_B_COLONNE_JUSTIFICATIF_OBLIGATOIRE">#REF!</definedName>
    <definedName name="P_Z_8_B_COLONNE_MOTIFS_INELIGIBILITE_LIBELLE_STANDARD" localSheetId="11">#REF!</definedName>
    <definedName name="P_Z_8_B_COLONNE_MOTIFS_INELIGIBILITE_LIBELLE_STANDARD">#REF!</definedName>
    <definedName name="P_Z_8_B_COLONNE_MT_ELIGIBLE_LIBELLE_STANDARD" localSheetId="11">#REF!</definedName>
    <definedName name="P_Z_8_B_COLONNE_MT_ELIGIBLE_LIBELLE_STANDARD">#REF!</definedName>
    <definedName name="P_Z_8_B_COLONNE_MT_MAX_ACTIVE" localSheetId="11">#REF!</definedName>
    <definedName name="P_Z_8_B_COLONNE_MT_MAX_ACTIVE">#REF!</definedName>
    <definedName name="P_Z_8_B_COLONNE_MT_MAX_LIBELLE_STANDARD" localSheetId="11">#REF!</definedName>
    <definedName name="P_Z_8_B_COLONNE_MT_MAX_LIBELLE_STANDARD">#REF!</definedName>
    <definedName name="P_Z_8_B_COLONNE_MT_PRESENTE" localSheetId="11">#REF!</definedName>
    <definedName name="P_Z_8_B_COLONNE_MT_PRESENTE">#REF!</definedName>
    <definedName name="P_Z_8_B_COLONNE_MT_PRESENTE_INDICATION" localSheetId="11">#REF!</definedName>
    <definedName name="P_Z_8_B_COLONNE_MT_PRESENTE_INDICATION">#REF!</definedName>
    <definedName name="P_Z_8_B_COLONNE_MT_RAISONNABLE_LIBELLE_STANDARD" localSheetId="11">#REF!</definedName>
    <definedName name="P_Z_8_B_COLONNE_MT_RAISONNABLE_LIBELLE_STANDARD">#REF!</definedName>
    <definedName name="P_Z_8_B_COLONNE_POSTE" localSheetId="11">#REF!</definedName>
    <definedName name="P_Z_8_B_COLONNE_POSTE">#REF!</definedName>
    <definedName name="P_Z_8_B_COLONNE_POSTE_INDICATION" localSheetId="11">#REF!</definedName>
    <definedName name="P_Z_8_B_COLONNE_POSTE_INDICATION">#REF!</definedName>
    <definedName name="P_Z_8_B_COLONNE_QT_ELIGIBLE_LIBELLE_STANDARD" localSheetId="11">#REF!</definedName>
    <definedName name="P_Z_8_B_COLONNE_QT_ELIGIBLE_LIBELLE_STANDARD">#REF!</definedName>
    <definedName name="P_Z_8_B_COLONNE_QT_RAISONNABLE_LIBELLE_STANDARD" localSheetId="11">#REF!</definedName>
    <definedName name="P_Z_8_B_COLONNE_QT_RAISONNABLE_LIBELLE_STANDARD">#REF!</definedName>
    <definedName name="P_Z_8_B_COLONNE_QUANTITE" localSheetId="11">#REF!</definedName>
    <definedName name="P_Z_8_B_COLONNE_QUANTITE">#REF!</definedName>
    <definedName name="P_Z_8_B_COLONNE_QUANTITE_INDICATION" localSheetId="11">#REF!</definedName>
    <definedName name="P_Z_8_B_COLONNE_QUANTITE_INDICATION">#REF!</definedName>
    <definedName name="P_Z_8_B_COLONNE_SOUS_OPERATION" localSheetId="11">#REF!</definedName>
    <definedName name="P_Z_8_B_COLONNE_SOUS_OPERATION">#REF!</definedName>
    <definedName name="P_Z_8_B_COLONNE_SOUS_OPERATION_INDICATION" localSheetId="11">#REF!</definedName>
    <definedName name="P_Z_8_B_COLONNE_SOUS_OPERATION_INDICATION">#REF!</definedName>
    <definedName name="P_Z_8_B_COLONNE_UNITE" localSheetId="11">#REF!</definedName>
    <definedName name="P_Z_8_B_COLONNE_UNITE">#REF!</definedName>
    <definedName name="P_Z_8_B_COLONNE_UNITE_INDICATION" localSheetId="11">#REF!</definedName>
    <definedName name="P_Z_8_B_COLONNE_UNITE_INDICATION">#REF!</definedName>
    <definedName name="P_Z_8_B_COLONNE_VALEUR_BAREME" localSheetId="11">#REF!</definedName>
    <definedName name="P_Z_8_B_COLONNE_VALEUR_BAREME">#REF!</definedName>
    <definedName name="P_Z_8_B_COLONNE_VALEUR_BAREME_INDICATION" localSheetId="11">#REF!</definedName>
    <definedName name="P_Z_8_B_COLONNE_VALEUR_BAREME_INDICATION">#REF!</definedName>
    <definedName name="P_Z_8_B_EXEMPLE_UTILISATION" localSheetId="11">#REF!</definedName>
    <definedName name="P_Z_8_B_EXEMPLE_UTILISATION">#REF!</definedName>
    <definedName name="P_Z_8_B_INTITULE_DEPENSES_BAREMES_STANDARD" localSheetId="11">#REF!</definedName>
    <definedName name="P_Z_8_B_INTITULE_DEPENSES_BAREMES_STANDARD">#REF!</definedName>
    <definedName name="P_Z_8_B_UFD" localSheetId="11">#REF!</definedName>
    <definedName name="P_Z_8_B_UFD">#REF!</definedName>
    <definedName name="P_Z_8_B_ULD" localSheetId="11">#REF!</definedName>
    <definedName name="P_Z_8_B_ULD">#REF!</definedName>
    <definedName name="P_Z_8_B_UTILISATION_FILTRE_POSTES" localSheetId="11">#REF!</definedName>
    <definedName name="P_Z_8_B_UTILISATION_FILTRE_POSTES">#REF!</definedName>
    <definedName name="P_Z_8_B_UTILISATION_FILTRE_SOUS_OPERATIONS" localSheetId="11">#REF!</definedName>
    <definedName name="P_Z_8_B_UTILISATION_FILTRE_SOUS_OPERATIONS">#REF!</definedName>
    <definedName name="P_Z_8_N_COLONNE_BAREME_INDICATION_SPECIFIQUE" localSheetId="11">#REF!</definedName>
    <definedName name="P_Z_8_N_COLONNE_BAREME_INDICATION_SPECIFIQUE">#REF!</definedName>
    <definedName name="P_Z_8_N_COLONNE_BAREME_INDICATION_STANDARD" localSheetId="11">#REF!</definedName>
    <definedName name="P_Z_8_N_COLONNE_BAREME_INDICATION_STANDARD">#REF!</definedName>
    <definedName name="P_Z_8_N_COLONNE_BAREME_SPECIFIQUE" localSheetId="11">#REF!</definedName>
    <definedName name="P_Z_8_N_COLONNE_BAREME_SPECIFIQUE">#REF!</definedName>
    <definedName name="P_Z_8_N_COLONNE_BAREME_STANDARD" localSheetId="11">#REF!</definedName>
    <definedName name="P_Z_8_N_COLONNE_BAREME_STANDARD">#REF!</definedName>
    <definedName name="P_Z_8_N_COLONNE_COMMENTAIRE_INDICATION_SPECIFIQUE" localSheetId="11">#REF!</definedName>
    <definedName name="P_Z_8_N_COLONNE_COMMENTAIRE_INDICATION_SPECIFIQUE">#REF!</definedName>
    <definedName name="P_Z_8_N_COLONNE_COMMENTAIRE_INDICATION_STANDARD" localSheetId="11">#REF!</definedName>
    <definedName name="P_Z_8_N_COLONNE_COMMENTAIRE_INDICATION_STANDARD">#REF!</definedName>
    <definedName name="P_Z_8_N_COLONNE_COMMENTAIRE_SI_LIBELLE_DEFAUT" localSheetId="11">#REF!</definedName>
    <definedName name="P_Z_8_N_COLONNE_COMMENTAIRE_SI_LIBELLE_DEFAUT">#REF!</definedName>
    <definedName name="P_Z_8_N_COLONNE_COMMENTAIRE_SI_LIBELLE_SPECIFIQUE" localSheetId="11">#REF!</definedName>
    <definedName name="P_Z_8_N_COLONNE_COMMENTAIRE_SI_LIBELLE_SPECIFIQUE">#REF!</definedName>
    <definedName name="P_Z_8_N_COLONNE_COMMENTAIRE_SPECIFIQUE" localSheetId="11">#REF!</definedName>
    <definedName name="P_Z_8_N_COLONNE_COMMENTAIRE_SPECIFIQUE">#REF!</definedName>
    <definedName name="P_Z_8_N_COLONNE_COMMENTAIRE_STANDARD" localSheetId="11">#REF!</definedName>
    <definedName name="P_Z_8_N_COLONNE_COMMENTAIRE_STANDARD">#REF!</definedName>
    <definedName name="P_Z_8_N_COLONNE_DESCRIPTION_INDICATION_SPECIFIQUE" localSheetId="11">#REF!</definedName>
    <definedName name="P_Z_8_N_COLONNE_DESCRIPTION_INDICATION_SPECIFIQUE">#REF!</definedName>
    <definedName name="P_Z_8_N_COLONNE_DESCRIPTION_INDICATION_STANDARD" localSheetId="11">#REF!</definedName>
    <definedName name="P_Z_8_N_COLONNE_DESCRIPTION_INDICATION_STANDARD">#REF!</definedName>
    <definedName name="P_Z_8_N_COLONNE_DESCRIPTION_SPECIFIQUE" localSheetId="11">#REF!</definedName>
    <definedName name="P_Z_8_N_COLONNE_DESCRIPTION_SPECIFIQUE">#REF!</definedName>
    <definedName name="P_Z_8_N_COLONNE_DESCRIPTION_STANDARD" localSheetId="11">#REF!</definedName>
    <definedName name="P_Z_8_N_COLONNE_DESCRIPTION_STANDARD">#REF!</definedName>
    <definedName name="P_Z_8_N_COLONNE_JUSTIFICATIF_INDICATION_SPECIFIQUE" localSheetId="11">#REF!</definedName>
    <definedName name="P_Z_8_N_COLONNE_JUSTIFICATIF_INDICATION_SPECIFIQUE">#REF!</definedName>
    <definedName name="P_Z_8_N_COLONNE_JUSTIFICATIF_INDICATION_STANDARD" localSheetId="11">#REF!</definedName>
    <definedName name="P_Z_8_N_COLONNE_JUSTIFICATIF_INDICATION_STANDARD">#REF!</definedName>
    <definedName name="P_Z_8_N_COLONNE_JUSTIFICATIF_SPECIFIQUE" localSheetId="11">#REF!</definedName>
    <definedName name="P_Z_8_N_COLONNE_JUSTIFICATIF_SPECIFIQUE">#REF!</definedName>
    <definedName name="P_Z_8_N_COLONNE_JUSTIFICATIF_STANDARD" localSheetId="11">#REF!</definedName>
    <definedName name="P_Z_8_N_COLONNE_JUSTIFICATIF_STANDARD">#REF!</definedName>
    <definedName name="P_Z_8_N_COLONNE_MOTIFS_INELIGIBILITE_LIBELLE_DEFAUT" localSheetId="11">#REF!</definedName>
    <definedName name="P_Z_8_N_COLONNE_MOTIFS_INELIGIBILITE_LIBELLE_DEFAUT">#REF!</definedName>
    <definedName name="P_Z_8_N_COLONNE_MOTIFS_INELIGIBILITE_LIBELLE_SPECIFIQUE" localSheetId="11">#REF!</definedName>
    <definedName name="P_Z_8_N_COLONNE_MOTIFS_INELIGIBILITE_LIBELLE_SPECIFIQUE">#REF!</definedName>
    <definedName name="P_Z_8_N_COLONNE_MT_ELIGIBLE_LIBELLE_DEFAUT" localSheetId="11">#REF!</definedName>
    <definedName name="P_Z_8_N_COLONNE_MT_ELIGIBLE_LIBELLE_DEFAUT">#REF!</definedName>
    <definedName name="P_Z_8_N_COLONNE_MT_ELIGIBLE_LIBELLE_SPECIFIQUE" localSheetId="11">#REF!</definedName>
    <definedName name="P_Z_8_N_COLONNE_MT_ELIGIBLE_LIBELLE_SPECIFIQUE">#REF!</definedName>
    <definedName name="P_Z_8_N_COLONNE_MT_MAX_LIBELLE_DEFAUT" localSheetId="11">#REF!</definedName>
    <definedName name="P_Z_8_N_COLONNE_MT_MAX_LIBELLE_DEFAUT">#REF!</definedName>
    <definedName name="P_Z_8_N_COLONNE_MT_MAX_LIBELLE_SPECIFIQUE" localSheetId="11">#REF!</definedName>
    <definedName name="P_Z_8_N_COLONNE_MT_MAX_LIBELLE_SPECIFIQUE">#REF!</definedName>
    <definedName name="P_Z_8_N_COLONNE_MT_PRESENTE_INDICATION_SPECIFIQUE" localSheetId="11">#REF!</definedName>
    <definedName name="P_Z_8_N_COLONNE_MT_PRESENTE_INDICATION_SPECIFIQUE">#REF!</definedName>
    <definedName name="P_Z_8_N_COLONNE_MT_PRESENTE_INDICATION_STANDARD" localSheetId="11">#REF!</definedName>
    <definedName name="P_Z_8_N_COLONNE_MT_PRESENTE_INDICATION_STANDARD">#REF!</definedName>
    <definedName name="P_Z_8_N_COLONNE_MT_PRESENTE_SPECIFIQUE" localSheetId="11">#REF!</definedName>
    <definedName name="P_Z_8_N_COLONNE_MT_PRESENTE_SPECIFIQUE">#REF!</definedName>
    <definedName name="P_Z_8_N_COLONNE_MT_PRESENTE_STANDARD" localSheetId="11">#REF!</definedName>
    <definedName name="P_Z_8_N_COLONNE_MT_PRESENTE_STANDARD">#REF!</definedName>
    <definedName name="P_Z_8_N_COLONNE_MT_RAISONNABLE_LIBELLE_DEFAUT" localSheetId="11">#REF!</definedName>
    <definedName name="P_Z_8_N_COLONNE_MT_RAISONNABLE_LIBELLE_DEFAUT">#REF!</definedName>
    <definedName name="P_Z_8_N_COLONNE_MT_RAISONNABLE_LIBELLE_SPECIFIQUE" localSheetId="11">#REF!</definedName>
    <definedName name="P_Z_8_N_COLONNE_MT_RAISONNABLE_LIBELLE_SPECIFIQUE">#REF!</definedName>
    <definedName name="P_Z_8_N_COLONNE_POSTE_INDICATION_SPECIFIQUE" localSheetId="11">#REF!</definedName>
    <definedName name="P_Z_8_N_COLONNE_POSTE_INDICATION_SPECIFIQUE">#REF!</definedName>
    <definedName name="P_Z_8_N_COLONNE_POSTE_INDICATION_STANDARD" localSheetId="11">#REF!</definedName>
    <definedName name="P_Z_8_N_COLONNE_POSTE_INDICATION_STANDARD">#REF!</definedName>
    <definedName name="P_Z_8_N_COLONNE_POSTE_SPECIFIQUE" localSheetId="11">#REF!</definedName>
    <definedName name="P_Z_8_N_COLONNE_POSTE_SPECIFIQUE">#REF!</definedName>
    <definedName name="P_Z_8_N_COLONNE_POSTE_STANDARD" localSheetId="11">#REF!</definedName>
    <definedName name="P_Z_8_N_COLONNE_POSTE_STANDARD">#REF!</definedName>
    <definedName name="P_Z_8_N_COLONNE_QT_ELIGIBLE_LIBELLE_DEFAUT" localSheetId="11">#REF!</definedName>
    <definedName name="P_Z_8_N_COLONNE_QT_ELIGIBLE_LIBELLE_DEFAUT">#REF!</definedName>
    <definedName name="P_Z_8_N_COLONNE_QT_ELIGIBLE_LIBELLE_SPECIFIQUE" localSheetId="11">#REF!</definedName>
    <definedName name="P_Z_8_N_COLONNE_QT_ELIGIBLE_LIBELLE_SPECIFIQUE">#REF!</definedName>
    <definedName name="P_Z_8_N_COLONNE_QT_RAISONNABLE_LIBELLE_DEFAUT" localSheetId="11">#REF!</definedName>
    <definedName name="P_Z_8_N_COLONNE_QT_RAISONNABLE_LIBELLE_DEFAUT">#REF!</definedName>
    <definedName name="P_Z_8_N_COLONNE_QT_RAISONNABLE_LIBELLE_SPECIFIQUE" localSheetId="11">#REF!</definedName>
    <definedName name="P_Z_8_N_COLONNE_QT_RAISONNABLE_LIBELLE_SPECIFIQUE">#REF!</definedName>
    <definedName name="P_Z_8_N_COLONNE_QUANTITE_INDICATION_SPECIFIQUE" localSheetId="11">#REF!</definedName>
    <definedName name="P_Z_8_N_COLONNE_QUANTITE_INDICATION_SPECIFIQUE">#REF!</definedName>
    <definedName name="P_Z_8_N_COLONNE_QUANTITE_INDICATION_STANDARD" localSheetId="11">#REF!</definedName>
    <definedName name="P_Z_8_N_COLONNE_QUANTITE_INDICATION_STANDARD">#REF!</definedName>
    <definedName name="P_Z_8_N_COLONNE_QUANTITE_SPECIFIQUE" localSheetId="11">#REF!</definedName>
    <definedName name="P_Z_8_N_COLONNE_QUANTITE_SPECIFIQUE">#REF!</definedName>
    <definedName name="P_Z_8_N_COLONNE_QUANTITE_STANDARD" localSheetId="11">#REF!</definedName>
    <definedName name="P_Z_8_N_COLONNE_QUANTITE_STANDARD">#REF!</definedName>
    <definedName name="P_Z_8_N_COLONNE_SOUS_OPERATION_INDICATION_SPECIFIQUE" localSheetId="11">#REF!</definedName>
    <definedName name="P_Z_8_N_COLONNE_SOUS_OPERATION_INDICATION_SPECIFIQUE">#REF!</definedName>
    <definedName name="P_Z_8_N_COLONNE_SOUS_OPERATION_INDICATION_STANDARD" localSheetId="11">#REF!</definedName>
    <definedName name="P_Z_8_N_COLONNE_SOUS_OPERATION_INDICATION_STANDARD">#REF!</definedName>
    <definedName name="P_Z_8_N_COLONNE_SOUS_OPERATION_SPECIFIQUE" localSheetId="11">#REF!</definedName>
    <definedName name="P_Z_8_N_COLONNE_SOUS_OPERATION_SPECIFIQUE">#REF!</definedName>
    <definedName name="P_Z_8_N_COLONNE_SOUS_OPERATION_STANDARD" localSheetId="11">#REF!</definedName>
    <definedName name="P_Z_8_N_COLONNE_SOUS_OPERATION_STANDARD">#REF!</definedName>
    <definedName name="P_Z_8_N_COLONNE_UNITE_INDICATION_SPECIFIQUE" localSheetId="11">#REF!</definedName>
    <definedName name="P_Z_8_N_COLONNE_UNITE_INDICATION_SPECIFIQUE">#REF!</definedName>
    <definedName name="P_Z_8_N_COLONNE_UNITE_INDICATION_STANDARD" localSheetId="11">#REF!</definedName>
    <definedName name="P_Z_8_N_COLONNE_UNITE_INDICATION_STANDARD">#REF!</definedName>
    <definedName name="P_Z_8_N_COLONNE_UNITE_SPECIFIQUE" localSheetId="11">#REF!</definedName>
    <definedName name="P_Z_8_N_COLONNE_UNITE_SPECIFIQUE">#REF!</definedName>
    <definedName name="P_Z_8_N_COLONNE_UNITE_STANDARD" localSheetId="11">#REF!</definedName>
    <definedName name="P_Z_8_N_COLONNE_UNITE_STANDARD">#REF!</definedName>
    <definedName name="P_Z_8_N_COLONNE_VALEUR_BAREME_INDICATION_SPECIFIQUE" localSheetId="11">#REF!</definedName>
    <definedName name="P_Z_8_N_COLONNE_VALEUR_BAREME_INDICATION_SPECIFIQUE">#REF!</definedName>
    <definedName name="P_Z_8_N_COLONNE_VALEUR_BAREME_INDICATION_STANDARD" localSheetId="11">#REF!</definedName>
    <definedName name="P_Z_8_N_COLONNE_VALEUR_BAREME_INDICATION_STANDARD">#REF!</definedName>
    <definedName name="P_Z_8_N_COLONNE_VALEUR_BAREME_SPECIFIQUE" localSheetId="11">#REF!</definedName>
    <definedName name="P_Z_8_N_COLONNE_VALEUR_BAREME_SPECIFIQUE">#REF!</definedName>
    <definedName name="P_Z_8_N_COLONNE_VALEUR_BAREME_STANDARD" localSheetId="11">#REF!</definedName>
    <definedName name="P_Z_8_N_COLONNE_VALEUR_BAREME_STANDARD">#REF!</definedName>
    <definedName name="P_Z_8_N_CONSIGNE_DEPENSES_BAREMES" localSheetId="11">#REF!</definedName>
    <definedName name="P_Z_8_N_CONSIGNE_DEPENSES_BAREMES">#REF!</definedName>
    <definedName name="P_Z_8_N_EXEMPLE_BAREME" localSheetId="11">#REF!</definedName>
    <definedName name="P_Z_8_N_EXEMPLE_BAREME">#REF!</definedName>
    <definedName name="P_Z_8_N_EXEMPLE_COMMENTAIRE" localSheetId="11">#REF!</definedName>
    <definedName name="P_Z_8_N_EXEMPLE_COMMENTAIRE">#REF!</definedName>
    <definedName name="P_Z_8_N_EXEMPLE_DESCRIPTION" localSheetId="11">#REF!</definedName>
    <definedName name="P_Z_8_N_EXEMPLE_DESCRIPTION">#REF!</definedName>
    <definedName name="P_Z_8_N_EXEMPLE_DONNEES" localSheetId="11">#REF!</definedName>
    <definedName name="P_Z_8_N_EXEMPLE_DONNEES">#REF!</definedName>
    <definedName name="P_Z_8_N_EXEMPLE_JUSTIFICATIF" localSheetId="11">#REF!</definedName>
    <definedName name="P_Z_8_N_EXEMPLE_JUSTIFICATIF">#REF!</definedName>
    <definedName name="P_Z_8_N_EXEMPLE_MT_PRESENTE" localSheetId="11">#REF!</definedName>
    <definedName name="P_Z_8_N_EXEMPLE_MT_PRESENTE">#REF!</definedName>
    <definedName name="P_Z_8_N_EXEMPLE_POSTE" localSheetId="11">#REF!</definedName>
    <definedName name="P_Z_8_N_EXEMPLE_POSTE">#REF!</definedName>
    <definedName name="P_Z_8_N_EXEMPLE_QUANTITE" localSheetId="11">#REF!</definedName>
    <definedName name="P_Z_8_N_EXEMPLE_QUANTITE">#REF!</definedName>
    <definedName name="P_Z_8_N_EXEMPLE_SOUS_OPERATION" localSheetId="11">#REF!</definedName>
    <definedName name="P_Z_8_N_EXEMPLE_SOUS_OPERATION">#REF!</definedName>
    <definedName name="P_Z_8_N_EXEMPLE_UNITE" localSheetId="11">#REF!</definedName>
    <definedName name="P_Z_8_N_EXEMPLE_UNITE">#REF!</definedName>
    <definedName name="P_Z_8_N_EXEMPLE_VALEUR_BAREME" localSheetId="11">#REF!</definedName>
    <definedName name="P_Z_8_N_EXEMPLE_VALEUR_BAREME">#REF!</definedName>
    <definedName name="P_Z_8_N_INTITULE_DEPENSES_BAREMES_DEFAUT" localSheetId="11">#REF!</definedName>
    <definedName name="P_Z_8_N_INTITULE_DEPENSES_BAREMES_DEFAUT">#REF!</definedName>
    <definedName name="P_Z_8_N_INTITULE_DEPENSES_BAREMES_SPECIFIQUE" localSheetId="11">#REF!</definedName>
    <definedName name="P_Z_8_N_INTITULE_DEPENSES_BAREMES_SPECIFIQUE">#REF!</definedName>
    <definedName name="P_Z_8_R_LIBELLES_CODES_BAREMES" localSheetId="11">#REF!</definedName>
    <definedName name="P_Z_8_R_LIBELLES_CODES_BAREMES">#REF!</definedName>
    <definedName name="P_Z_8_R_LIBELLES_CODES_BAREMES_1" localSheetId="11">#REF!</definedName>
    <definedName name="P_Z_8_R_LIBELLES_CODES_BAREMES_1">#REF!</definedName>
    <definedName name="P_Z_8_R_LIBELLES_CODES_BAREMES_10" localSheetId="11">#REF!</definedName>
    <definedName name="P_Z_8_R_LIBELLES_CODES_BAREMES_10">#REF!</definedName>
    <definedName name="P_Z_8_R_LIBELLES_CODES_BAREMES_11" localSheetId="11">#REF!</definedName>
    <definedName name="P_Z_8_R_LIBELLES_CODES_BAREMES_11">#REF!</definedName>
    <definedName name="P_Z_8_R_LIBELLES_CODES_BAREMES_12" localSheetId="11">#REF!</definedName>
    <definedName name="P_Z_8_R_LIBELLES_CODES_BAREMES_12">#REF!</definedName>
    <definedName name="P_Z_8_R_LIBELLES_CODES_BAREMES_13" localSheetId="11">#REF!</definedName>
    <definedName name="P_Z_8_R_LIBELLES_CODES_BAREMES_13">#REF!</definedName>
    <definedName name="P_Z_8_R_LIBELLES_CODES_BAREMES_14" localSheetId="11">#REF!</definedName>
    <definedName name="P_Z_8_R_LIBELLES_CODES_BAREMES_14">#REF!</definedName>
    <definedName name="P_Z_8_R_LIBELLES_CODES_BAREMES_15" localSheetId="11">#REF!</definedName>
    <definedName name="P_Z_8_R_LIBELLES_CODES_BAREMES_15">#REF!</definedName>
    <definedName name="P_Z_8_R_LIBELLES_CODES_BAREMES_16" localSheetId="11">#REF!</definedName>
    <definedName name="P_Z_8_R_LIBELLES_CODES_BAREMES_16">#REF!</definedName>
    <definedName name="P_Z_8_R_LIBELLES_CODES_BAREMES_17" localSheetId="11">#REF!</definedName>
    <definedName name="P_Z_8_R_LIBELLES_CODES_BAREMES_17">#REF!</definedName>
    <definedName name="P_Z_8_R_LIBELLES_CODES_BAREMES_18" localSheetId="11">#REF!</definedName>
    <definedName name="P_Z_8_R_LIBELLES_CODES_BAREMES_18">#REF!</definedName>
    <definedName name="P_Z_8_R_LIBELLES_CODES_BAREMES_19" localSheetId="11">#REF!</definedName>
    <definedName name="P_Z_8_R_LIBELLES_CODES_BAREMES_19">#REF!</definedName>
    <definedName name="P_Z_8_R_LIBELLES_CODES_BAREMES_2" localSheetId="11">#REF!</definedName>
    <definedName name="P_Z_8_R_LIBELLES_CODES_BAREMES_2">#REF!</definedName>
    <definedName name="P_Z_8_R_LIBELLES_CODES_BAREMES_20" localSheetId="11">#REF!</definedName>
    <definedName name="P_Z_8_R_LIBELLES_CODES_BAREMES_20">#REF!</definedName>
    <definedName name="P_Z_8_R_LIBELLES_CODES_BAREMES_21" localSheetId="11">#REF!</definedName>
    <definedName name="P_Z_8_R_LIBELLES_CODES_BAREMES_21">#REF!</definedName>
    <definedName name="P_Z_8_R_LIBELLES_CODES_BAREMES_22" localSheetId="11">#REF!</definedName>
    <definedName name="P_Z_8_R_LIBELLES_CODES_BAREMES_22">#REF!</definedName>
    <definedName name="P_Z_8_R_LIBELLES_CODES_BAREMES_23" localSheetId="11">#REF!</definedName>
    <definedName name="P_Z_8_R_LIBELLES_CODES_BAREMES_23">#REF!</definedName>
    <definedName name="P_Z_8_R_LIBELLES_CODES_BAREMES_24" localSheetId="11">#REF!</definedName>
    <definedName name="P_Z_8_R_LIBELLES_CODES_BAREMES_24">#REF!</definedName>
    <definedName name="P_Z_8_R_LIBELLES_CODES_BAREMES_25" localSheetId="11">#REF!</definedName>
    <definedName name="P_Z_8_R_LIBELLES_CODES_BAREMES_25">#REF!</definedName>
    <definedName name="P_Z_8_R_LIBELLES_CODES_BAREMES_26" localSheetId="11">#REF!</definedName>
    <definedName name="P_Z_8_R_LIBELLES_CODES_BAREMES_26">#REF!</definedName>
    <definedName name="P_Z_8_R_LIBELLES_CODES_BAREMES_27" localSheetId="11">#REF!</definedName>
    <definedName name="P_Z_8_R_LIBELLES_CODES_BAREMES_27">#REF!</definedName>
    <definedName name="P_Z_8_R_LIBELLES_CODES_BAREMES_28" localSheetId="11">#REF!</definedName>
    <definedName name="P_Z_8_R_LIBELLES_CODES_BAREMES_28">#REF!</definedName>
    <definedName name="P_Z_8_R_LIBELLES_CODES_BAREMES_29" localSheetId="11">#REF!</definedName>
    <definedName name="P_Z_8_R_LIBELLES_CODES_BAREMES_29">#REF!</definedName>
    <definedName name="P_Z_8_R_LIBELLES_CODES_BAREMES_3" localSheetId="11">#REF!</definedName>
    <definedName name="P_Z_8_R_LIBELLES_CODES_BAREMES_3">#REF!</definedName>
    <definedName name="P_Z_8_R_LIBELLES_CODES_BAREMES_30" localSheetId="11">#REF!</definedName>
    <definedName name="P_Z_8_R_LIBELLES_CODES_BAREMES_30">#REF!</definedName>
    <definedName name="P_Z_8_R_LIBELLES_CODES_BAREMES_31" localSheetId="11">#REF!</definedName>
    <definedName name="P_Z_8_R_LIBELLES_CODES_BAREMES_31">#REF!</definedName>
    <definedName name="P_Z_8_R_LIBELLES_CODES_BAREMES_32" localSheetId="11">#REF!</definedName>
    <definedName name="P_Z_8_R_LIBELLES_CODES_BAREMES_32">#REF!</definedName>
    <definedName name="P_Z_8_R_LIBELLES_CODES_BAREMES_33" localSheetId="11">#REF!</definedName>
    <definedName name="P_Z_8_R_LIBELLES_CODES_BAREMES_33">#REF!</definedName>
    <definedName name="P_Z_8_R_LIBELLES_CODES_BAREMES_34" localSheetId="11">#REF!</definedName>
    <definedName name="P_Z_8_R_LIBELLES_CODES_BAREMES_34">#REF!</definedName>
    <definedName name="P_Z_8_R_LIBELLES_CODES_BAREMES_35" localSheetId="11">#REF!</definedName>
    <definedName name="P_Z_8_R_LIBELLES_CODES_BAREMES_35">#REF!</definedName>
    <definedName name="P_Z_8_R_LIBELLES_CODES_BAREMES_36" localSheetId="11">#REF!</definedName>
    <definedName name="P_Z_8_R_LIBELLES_CODES_BAREMES_36">#REF!</definedName>
    <definedName name="P_Z_8_R_LIBELLES_CODES_BAREMES_37" localSheetId="11">#REF!</definedName>
    <definedName name="P_Z_8_R_LIBELLES_CODES_BAREMES_37">#REF!</definedName>
    <definedName name="P_Z_8_R_LIBELLES_CODES_BAREMES_38" localSheetId="11">#REF!</definedName>
    <definedName name="P_Z_8_R_LIBELLES_CODES_BAREMES_38">#REF!</definedName>
    <definedName name="P_Z_8_R_LIBELLES_CODES_BAREMES_39" localSheetId="11">#REF!</definedName>
    <definedName name="P_Z_8_R_LIBELLES_CODES_BAREMES_39">#REF!</definedName>
    <definedName name="P_Z_8_R_LIBELLES_CODES_BAREMES_4" localSheetId="11">#REF!</definedName>
    <definedName name="P_Z_8_R_LIBELLES_CODES_BAREMES_4">#REF!</definedName>
    <definedName name="P_Z_8_R_LIBELLES_CODES_BAREMES_40" localSheetId="11">#REF!</definedName>
    <definedName name="P_Z_8_R_LIBELLES_CODES_BAREMES_40">#REF!</definedName>
    <definedName name="P_Z_8_R_LIBELLES_CODES_BAREMES_5" localSheetId="11">#REF!</definedName>
    <definedName name="P_Z_8_R_LIBELLES_CODES_BAREMES_5">#REF!</definedName>
    <definedName name="P_Z_8_R_LIBELLES_CODES_BAREMES_6" localSheetId="11">#REF!</definedName>
    <definedName name="P_Z_8_R_LIBELLES_CODES_BAREMES_6">#REF!</definedName>
    <definedName name="P_Z_8_R_LIBELLES_CODES_BAREMES_7" localSheetId="11">#REF!</definedName>
    <definedName name="P_Z_8_R_LIBELLES_CODES_BAREMES_7">#REF!</definedName>
    <definedName name="P_Z_8_R_LIBELLES_CODES_BAREMES_8" localSheetId="11">#REF!</definedName>
    <definedName name="P_Z_8_R_LIBELLES_CODES_BAREMES_8">#REF!</definedName>
    <definedName name="P_Z_8_R_LIBELLES_CODES_BAREMES_9" localSheetId="11">#REF!</definedName>
    <definedName name="P_Z_8_R_LIBELLES_CODES_BAREMES_9">#REF!</definedName>
    <definedName name="P_Z_8_R_LIBELLES_DESCRIPTIONS" localSheetId="11">#REF!</definedName>
    <definedName name="P_Z_8_R_LIBELLES_DESCRIPTIONS">#REF!</definedName>
    <definedName name="P_Z_8_R_LIBELLES_DESCRIPTIONS_1" localSheetId="11">#REF!</definedName>
    <definedName name="P_Z_8_R_LIBELLES_DESCRIPTIONS_1">#REF!</definedName>
    <definedName name="P_Z_8_R_LIBELLES_DESCRIPTIONS_10" localSheetId="11">#REF!</definedName>
    <definedName name="P_Z_8_R_LIBELLES_DESCRIPTIONS_10">#REF!</definedName>
    <definedName name="P_Z_8_R_LIBELLES_DESCRIPTIONS_11" localSheetId="11">#REF!</definedName>
    <definedName name="P_Z_8_R_LIBELLES_DESCRIPTIONS_11">#REF!</definedName>
    <definedName name="P_Z_8_R_LIBELLES_DESCRIPTIONS_12" localSheetId="11">#REF!</definedName>
    <definedName name="P_Z_8_R_LIBELLES_DESCRIPTIONS_12">#REF!</definedName>
    <definedName name="P_Z_8_R_LIBELLES_DESCRIPTIONS_13" localSheetId="11">#REF!</definedName>
    <definedName name="P_Z_8_R_LIBELLES_DESCRIPTIONS_13">#REF!</definedName>
    <definedName name="P_Z_8_R_LIBELLES_DESCRIPTIONS_14" localSheetId="11">#REF!</definedName>
    <definedName name="P_Z_8_R_LIBELLES_DESCRIPTIONS_14">#REF!</definedName>
    <definedName name="P_Z_8_R_LIBELLES_DESCRIPTIONS_15" localSheetId="11">#REF!</definedName>
    <definedName name="P_Z_8_R_LIBELLES_DESCRIPTIONS_15">#REF!</definedName>
    <definedName name="P_Z_8_R_LIBELLES_DESCRIPTIONS_16" localSheetId="11">#REF!</definedName>
    <definedName name="P_Z_8_R_LIBELLES_DESCRIPTIONS_16">#REF!</definedName>
    <definedName name="P_Z_8_R_LIBELLES_DESCRIPTIONS_17" localSheetId="11">#REF!</definedName>
    <definedName name="P_Z_8_R_LIBELLES_DESCRIPTIONS_17">#REF!</definedName>
    <definedName name="P_Z_8_R_LIBELLES_DESCRIPTIONS_18" localSheetId="11">#REF!</definedName>
    <definedName name="P_Z_8_R_LIBELLES_DESCRIPTIONS_18">#REF!</definedName>
    <definedName name="P_Z_8_R_LIBELLES_DESCRIPTIONS_19" localSheetId="11">#REF!</definedName>
    <definedName name="P_Z_8_R_LIBELLES_DESCRIPTIONS_19">#REF!</definedName>
    <definedName name="P_Z_8_R_LIBELLES_DESCRIPTIONS_2" localSheetId="11">#REF!</definedName>
    <definedName name="P_Z_8_R_LIBELLES_DESCRIPTIONS_2">#REF!</definedName>
    <definedName name="P_Z_8_R_LIBELLES_DESCRIPTIONS_20" localSheetId="11">#REF!</definedName>
    <definedName name="P_Z_8_R_LIBELLES_DESCRIPTIONS_20">#REF!</definedName>
    <definedName name="P_Z_8_R_LIBELLES_DESCRIPTIONS_3" localSheetId="11">#REF!</definedName>
    <definedName name="P_Z_8_R_LIBELLES_DESCRIPTIONS_3">#REF!</definedName>
    <definedName name="P_Z_8_R_LIBELLES_DESCRIPTIONS_4" localSheetId="11">#REF!</definedName>
    <definedName name="P_Z_8_R_LIBELLES_DESCRIPTIONS_4">#REF!</definedName>
    <definedName name="P_Z_8_R_LIBELLES_DESCRIPTIONS_5" localSheetId="11">#REF!</definedName>
    <definedName name="P_Z_8_R_LIBELLES_DESCRIPTIONS_5">#REF!</definedName>
    <definedName name="P_Z_8_R_LIBELLES_DESCRIPTIONS_6" localSheetId="11">#REF!</definedName>
    <definedName name="P_Z_8_R_LIBELLES_DESCRIPTIONS_6">#REF!</definedName>
    <definedName name="P_Z_8_R_LIBELLES_DESCRIPTIONS_7" localSheetId="11">#REF!</definedName>
    <definedName name="P_Z_8_R_LIBELLES_DESCRIPTIONS_7">#REF!</definedName>
    <definedName name="P_Z_8_R_LIBELLES_DESCRIPTIONS_8" localSheetId="11">#REF!</definedName>
    <definedName name="P_Z_8_R_LIBELLES_DESCRIPTIONS_8">#REF!</definedName>
    <definedName name="P_Z_8_R_LIBELLES_DESCRIPTIONS_9" localSheetId="11">#REF!</definedName>
    <definedName name="P_Z_8_R_LIBELLES_DESCRIPTIONS_9">#REF!</definedName>
    <definedName name="P_Z_8_R_LIBELLES_POSTES" localSheetId="11">#REF!</definedName>
    <definedName name="P_Z_8_R_LIBELLES_POSTES">#REF!</definedName>
    <definedName name="P_Z_8_R_LIBELLES_POSTES_1" localSheetId="11">#REF!</definedName>
    <definedName name="P_Z_8_R_LIBELLES_POSTES_1">#REF!</definedName>
    <definedName name="P_Z_8_R_LIBELLES_POSTES_10" localSheetId="11">#REF!</definedName>
    <definedName name="P_Z_8_R_LIBELLES_POSTES_10">#REF!</definedName>
    <definedName name="P_Z_8_R_LIBELLES_POSTES_11" localSheetId="11">#REF!</definedName>
    <definedName name="P_Z_8_R_LIBELLES_POSTES_11">#REF!</definedName>
    <definedName name="P_Z_8_R_LIBELLES_POSTES_12" localSheetId="11">#REF!</definedName>
    <definedName name="P_Z_8_R_LIBELLES_POSTES_12">#REF!</definedName>
    <definedName name="P_Z_8_R_LIBELLES_POSTES_13" localSheetId="11">#REF!</definedName>
    <definedName name="P_Z_8_R_LIBELLES_POSTES_13">#REF!</definedName>
    <definedName name="P_Z_8_R_LIBELLES_POSTES_14" localSheetId="11">#REF!</definedName>
    <definedName name="P_Z_8_R_LIBELLES_POSTES_14">#REF!</definedName>
    <definedName name="P_Z_8_R_LIBELLES_POSTES_15" localSheetId="11">#REF!</definedName>
    <definedName name="P_Z_8_R_LIBELLES_POSTES_15">#REF!</definedName>
    <definedName name="P_Z_8_R_LIBELLES_POSTES_16" localSheetId="11">#REF!</definedName>
    <definedName name="P_Z_8_R_LIBELLES_POSTES_16">#REF!</definedName>
    <definedName name="P_Z_8_R_LIBELLES_POSTES_17" localSheetId="11">#REF!</definedName>
    <definedName name="P_Z_8_R_LIBELLES_POSTES_17">#REF!</definedName>
    <definedName name="P_Z_8_R_LIBELLES_POSTES_18" localSheetId="11">#REF!</definedName>
    <definedName name="P_Z_8_R_LIBELLES_POSTES_18">#REF!</definedName>
    <definedName name="P_Z_8_R_LIBELLES_POSTES_19" localSheetId="11">#REF!</definedName>
    <definedName name="P_Z_8_R_LIBELLES_POSTES_19">#REF!</definedName>
    <definedName name="P_Z_8_R_LIBELLES_POSTES_2" localSheetId="11">#REF!</definedName>
    <definedName name="P_Z_8_R_LIBELLES_POSTES_2">#REF!</definedName>
    <definedName name="P_Z_8_R_LIBELLES_POSTES_20" localSheetId="11">#REF!</definedName>
    <definedName name="P_Z_8_R_LIBELLES_POSTES_20">#REF!</definedName>
    <definedName name="P_Z_8_R_LIBELLES_POSTES_3" localSheetId="11">#REF!</definedName>
    <definedName name="P_Z_8_R_LIBELLES_POSTES_3">#REF!</definedName>
    <definedName name="P_Z_8_R_LIBELLES_POSTES_4" localSheetId="11">#REF!</definedName>
    <definedName name="P_Z_8_R_LIBELLES_POSTES_4">#REF!</definedName>
    <definedName name="P_Z_8_R_LIBELLES_POSTES_5" localSheetId="11">#REF!</definedName>
    <definedName name="P_Z_8_R_LIBELLES_POSTES_5">#REF!</definedName>
    <definedName name="P_Z_8_R_LIBELLES_POSTES_6" localSheetId="11">#REF!</definedName>
    <definedName name="P_Z_8_R_LIBELLES_POSTES_6">#REF!</definedName>
    <definedName name="P_Z_8_R_LIBELLES_POSTES_7" localSheetId="11">#REF!</definedName>
    <definedName name="P_Z_8_R_LIBELLES_POSTES_7">#REF!</definedName>
    <definedName name="P_Z_8_R_LIBELLES_POSTES_8" localSheetId="11">#REF!</definedName>
    <definedName name="P_Z_8_R_LIBELLES_POSTES_8">#REF!</definedName>
    <definedName name="P_Z_8_R_LIBELLES_POSTES_9" localSheetId="11">#REF!</definedName>
    <definedName name="P_Z_8_R_LIBELLES_POSTES_9">#REF!</definedName>
    <definedName name="P_Z_8_R_LIBELLES_SOUS_OPERATIONS" localSheetId="11">#REF!</definedName>
    <definedName name="P_Z_8_R_LIBELLES_SOUS_OPERATIONS">#REF!</definedName>
    <definedName name="P_Z_8_R_LIBELLES_SOUS_OPERATIONS_1" localSheetId="11">#REF!</definedName>
    <definedName name="P_Z_8_R_LIBELLES_SOUS_OPERATIONS_1">#REF!</definedName>
    <definedName name="P_Z_8_R_LIBELLES_SOUS_OPERATIONS_10" localSheetId="11">#REF!</definedName>
    <definedName name="P_Z_8_R_LIBELLES_SOUS_OPERATIONS_10">#REF!</definedName>
    <definedName name="P_Z_8_R_LIBELLES_SOUS_OPERATIONS_11" localSheetId="11">#REF!</definedName>
    <definedName name="P_Z_8_R_LIBELLES_SOUS_OPERATIONS_11">#REF!</definedName>
    <definedName name="P_Z_8_R_LIBELLES_SOUS_OPERATIONS_12" localSheetId="11">#REF!</definedName>
    <definedName name="P_Z_8_R_LIBELLES_SOUS_OPERATIONS_12">#REF!</definedName>
    <definedName name="P_Z_8_R_LIBELLES_SOUS_OPERATIONS_13" localSheetId="11">#REF!</definedName>
    <definedName name="P_Z_8_R_LIBELLES_SOUS_OPERATIONS_13">#REF!</definedName>
    <definedName name="P_Z_8_R_LIBELLES_SOUS_OPERATIONS_14" localSheetId="11">#REF!</definedName>
    <definedName name="P_Z_8_R_LIBELLES_SOUS_OPERATIONS_14">#REF!</definedName>
    <definedName name="P_Z_8_R_LIBELLES_SOUS_OPERATIONS_15" localSheetId="11">#REF!</definedName>
    <definedName name="P_Z_8_R_LIBELLES_SOUS_OPERATIONS_15">#REF!</definedName>
    <definedName name="P_Z_8_R_LIBELLES_SOUS_OPERATIONS_16" localSheetId="11">#REF!</definedName>
    <definedName name="P_Z_8_R_LIBELLES_SOUS_OPERATIONS_16">#REF!</definedName>
    <definedName name="P_Z_8_R_LIBELLES_SOUS_OPERATIONS_17" localSheetId="11">#REF!</definedName>
    <definedName name="P_Z_8_R_LIBELLES_SOUS_OPERATIONS_17">#REF!</definedName>
    <definedName name="P_Z_8_R_LIBELLES_SOUS_OPERATIONS_18" localSheetId="11">#REF!</definedName>
    <definedName name="P_Z_8_R_LIBELLES_SOUS_OPERATIONS_18">#REF!</definedName>
    <definedName name="P_Z_8_R_LIBELLES_SOUS_OPERATIONS_19" localSheetId="11">#REF!</definedName>
    <definedName name="P_Z_8_R_LIBELLES_SOUS_OPERATIONS_19">#REF!</definedName>
    <definedName name="P_Z_8_R_LIBELLES_SOUS_OPERATIONS_2" localSheetId="11">#REF!</definedName>
    <definedName name="P_Z_8_R_LIBELLES_SOUS_OPERATIONS_2">#REF!</definedName>
    <definedName name="P_Z_8_R_LIBELLES_SOUS_OPERATIONS_20" localSheetId="11">#REF!</definedName>
    <definedName name="P_Z_8_R_LIBELLES_SOUS_OPERATIONS_20">#REF!</definedName>
    <definedName name="P_Z_8_R_LIBELLES_SOUS_OPERATIONS_3" localSheetId="11">#REF!</definedName>
    <definedName name="P_Z_8_R_LIBELLES_SOUS_OPERATIONS_3">#REF!</definedName>
    <definedName name="P_Z_8_R_LIBELLES_SOUS_OPERATIONS_4" localSheetId="11">#REF!</definedName>
    <definedName name="P_Z_8_R_LIBELLES_SOUS_OPERATIONS_4">#REF!</definedName>
    <definedName name="P_Z_8_R_LIBELLES_SOUS_OPERATIONS_5" localSheetId="11">#REF!</definedName>
    <definedName name="P_Z_8_R_LIBELLES_SOUS_OPERATIONS_5">#REF!</definedName>
    <definedName name="P_Z_8_R_LIBELLES_SOUS_OPERATIONS_6" localSheetId="11">#REF!</definedName>
    <definedName name="P_Z_8_R_LIBELLES_SOUS_OPERATIONS_6">#REF!</definedName>
    <definedName name="P_Z_8_R_LIBELLES_SOUS_OPERATIONS_7" localSheetId="11">#REF!</definedName>
    <definedName name="P_Z_8_R_LIBELLES_SOUS_OPERATIONS_7">#REF!</definedName>
    <definedName name="P_Z_8_R_LIBELLES_SOUS_OPERATIONS_8" localSheetId="11">#REF!</definedName>
    <definedName name="P_Z_8_R_LIBELLES_SOUS_OPERATIONS_8">#REF!</definedName>
    <definedName name="P_Z_8_R_LIBELLES_SOUS_OPERATIONS_9" localSheetId="11">#REF!</definedName>
    <definedName name="P_Z_8_R_LIBELLES_SOUS_OPERATIONS_9">#REF!</definedName>
    <definedName name="P_Z_F_B_TYPE_1_ACTIVE" localSheetId="11">#REF!</definedName>
    <definedName name="P_Z_F_B_TYPE_1_ACTIVE">#REF!</definedName>
    <definedName name="P_Z_F_B_TYPE_10_ACTIVE" localSheetId="11">#REF!</definedName>
    <definedName name="P_Z_F_B_TYPE_10_ACTIVE">#REF!</definedName>
    <definedName name="P_Z_F_B_TYPE_11_ACTIVE" localSheetId="11">#REF!</definedName>
    <definedName name="P_Z_F_B_TYPE_11_ACTIVE">#REF!</definedName>
    <definedName name="P_Z_F_B_TYPE_12_ACTIVE" localSheetId="11">#REF!</definedName>
    <definedName name="P_Z_F_B_TYPE_12_ACTIVE">#REF!</definedName>
    <definedName name="P_Z_F_B_TYPE_13_ACTIVE" localSheetId="11">#REF!</definedName>
    <definedName name="P_Z_F_B_TYPE_13_ACTIVE">#REF!</definedName>
    <definedName name="P_Z_F_B_TYPE_2_ACTIVE" localSheetId="11">#REF!</definedName>
    <definedName name="P_Z_F_B_TYPE_2_ACTIVE">#REF!</definedName>
    <definedName name="P_Z_F_B_TYPE_3_ACTIVE" localSheetId="11">#REF!</definedName>
    <definedName name="P_Z_F_B_TYPE_3_ACTIVE">#REF!</definedName>
    <definedName name="P_Z_F_B_TYPE_4_ACTIVE" localSheetId="11">#REF!</definedName>
    <definedName name="P_Z_F_B_TYPE_4_ACTIVE">#REF!</definedName>
    <definedName name="P_Z_F_B_TYPE_5_ACTIVE" localSheetId="11">#REF!</definedName>
    <definedName name="P_Z_F_B_TYPE_5_ACTIVE">#REF!</definedName>
    <definedName name="P_Z_F_B_TYPE_6_ACTIVE" localSheetId="11">#REF!</definedName>
    <definedName name="P_Z_F_B_TYPE_6_ACTIVE">#REF!</definedName>
    <definedName name="P_Z_F_B_TYPE_7_ACTIVE" localSheetId="11">#REF!</definedName>
    <definedName name="P_Z_F_B_TYPE_7_ACTIVE">#REF!</definedName>
    <definedName name="P_Z_F_B_TYPE_8_ACTIVE" localSheetId="11">#REF!</definedName>
    <definedName name="P_Z_F_B_TYPE_8_ACTIVE">#REF!</definedName>
    <definedName name="P_Z_F_B_TYPE_9_ACTIVE" localSheetId="11">#REF!</definedName>
    <definedName name="P_Z_F_B_TYPE_9_ACTIVE">#REF!</definedName>
    <definedName name="P_Z_F_N_CODE_INTERVENTION" localSheetId="11">#REF!</definedName>
    <definedName name="P_Z_F_N_CODE_INTERVENTION">#REF!</definedName>
    <definedName name="P_Z_F_N_CONSIGNES_UTILISATION" localSheetId="11">#REF!</definedName>
    <definedName name="P_Z_F_N_CONSIGNES_UTILISATION">#REF!</definedName>
    <definedName name="P_Z_F_N_CONSIGNES_UTILISATION_FIN" localSheetId="11">#REF!</definedName>
    <definedName name="P_Z_F_N_CONSIGNES_UTILISATION_FIN">#REF!</definedName>
    <definedName name="P_Z_F_N_LIBELLE_DISPOSITIF" localSheetId="11">#REF!</definedName>
    <definedName name="P_Z_F_N_LIBELLE_DISPOSITIF">#REF!</definedName>
    <definedName name="P_Z_F_N_NB_LOGOS_FINANCEURS" localSheetId="11">#REF!</definedName>
    <definedName name="P_Z_F_N_NB_LOGOS_FINANCEURS">#REF!</definedName>
    <definedName name="P_Z_F_N_RAPPELS" localSheetId="11">#REF!</definedName>
    <definedName name="P_Z_F_N_RAPPELS">#REF!</definedName>
    <definedName name="P_Z_G_R_G_BOOLEEN" localSheetId="11">#REF!</definedName>
    <definedName name="P_Z_G_R_G_BOOLEEN">#REF!</definedName>
    <definedName name="P_Z_G_R_G_BOOLEEN_NON" localSheetId="11">#REF!</definedName>
    <definedName name="P_Z_G_R_G_BOOLEEN_NON">#REF!</definedName>
    <definedName name="P_Z_G_R_G_BOOLEEN_OUI" localSheetId="11">#REF!</definedName>
    <definedName name="P_Z_G_R_G_BOOLEEN_OUI">#REF!</definedName>
    <definedName name="P_Z_G_R_G_INTERVENTIONS_PSN" localSheetId="11">#REF!</definedName>
    <definedName name="P_Z_G_R_G_INTERVENTIONS_PSN">#REF!</definedName>
    <definedName name="P_Z_G_R_G_NB_CATEGORIES" localSheetId="11">#REF!</definedName>
    <definedName name="P_Z_G_R_G_NB_CATEGORIES">#REF!</definedName>
    <definedName name="P_Z_G_R_G_NB_LOGOS_FINANCEURS" localSheetId="11">#REF!</definedName>
    <definedName name="P_Z_G_R_G_NB_LOGOS_FINANCEURS">#REF!</definedName>
    <definedName name="_xlnm.Print_Area" localSheetId="0">Accueil!$A$1:$X$32</definedName>
    <definedName name="zz" localSheetId="11">#REF!</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9" i="55" l="1" a="1"/>
  <c r="BJ9" i="55" s="1"/>
  <c r="I15" i="31"/>
  <c r="K15" i="31" l="1"/>
  <c r="G37" i="31"/>
  <c r="R25" i="48"/>
  <c r="R26" i="48"/>
  <c r="F10" i="31" l="1"/>
  <c r="BN13" i="55" a="1"/>
  <c r="BN13" i="55" s="1"/>
  <c r="BN25" i="55" a="1"/>
  <c r="BN25" i="55" s="1"/>
  <c r="BO10" i="55" a="1"/>
  <c r="BO10" i="55" s="1"/>
  <c r="BO13" i="55" a="1"/>
  <c r="BO13" i="55" s="1"/>
  <c r="N24" i="73" a="1"/>
  <c r="N24" i="73" s="1"/>
  <c r="N23" i="73" a="1"/>
  <c r="N23" i="73" s="1"/>
  <c r="N22" i="73" a="1"/>
  <c r="N22" i="73" s="1"/>
  <c r="N21" i="73" a="1"/>
  <c r="N21" i="73" s="1"/>
  <c r="N20" i="73" a="1"/>
  <c r="N20" i="73" s="1"/>
  <c r="N19" i="73" a="1"/>
  <c r="N19" i="73" s="1"/>
  <c r="N18" i="73" a="1"/>
  <c r="N18" i="73"/>
  <c r="N17" i="73" a="1"/>
  <c r="N17" i="73" s="1"/>
  <c r="N16" i="73" a="1"/>
  <c r="N16" i="73" s="1"/>
  <c r="N15" i="73" a="1"/>
  <c r="N15" i="73"/>
  <c r="N14" i="73" a="1"/>
  <c r="N14" i="73" s="1"/>
  <c r="N13" i="73" a="1"/>
  <c r="N13" i="73" s="1"/>
  <c r="N12" i="73" a="1"/>
  <c r="N12" i="73" s="1"/>
  <c r="N11" i="73" a="1"/>
  <c r="N11" i="73" s="1"/>
  <c r="N10" i="73" a="1"/>
  <c r="N10" i="73"/>
  <c r="N9" i="73" a="1"/>
  <c r="N9" i="73" s="1"/>
  <c r="N8" i="73" a="1"/>
  <c r="N8" i="73" s="1"/>
  <c r="N7" i="73" a="1"/>
  <c r="N7" i="73"/>
  <c r="N6" i="73" a="1"/>
  <c r="N6" i="73" s="1"/>
  <c r="N5" i="73" a="1"/>
  <c r="N5" i="73" s="1"/>
  <c r="N4" i="73" a="1"/>
  <c r="N4" i="73" s="1"/>
  <c r="L24" i="72" a="1"/>
  <c r="L24" i="72" s="1"/>
  <c r="L23" i="72" a="1"/>
  <c r="L23" i="72"/>
  <c r="L22" i="72" a="1"/>
  <c r="L22" i="72" s="1"/>
  <c r="L21" i="72" a="1"/>
  <c r="L21" i="72" s="1"/>
  <c r="L20" i="72" a="1"/>
  <c r="L20" i="72"/>
  <c r="L19" i="72" a="1"/>
  <c r="L19" i="72" s="1"/>
  <c r="L18" i="72" a="1"/>
  <c r="L18" i="72" s="1"/>
  <c r="L17" i="72" a="1"/>
  <c r="L17" i="72" s="1"/>
  <c r="L16" i="72" a="1"/>
  <c r="L16" i="72" s="1"/>
  <c r="L15" i="72" a="1"/>
  <c r="L15" i="72"/>
  <c r="L14" i="72" a="1"/>
  <c r="L14" i="72" s="1"/>
  <c r="L13" i="72" a="1"/>
  <c r="L13" i="72" s="1"/>
  <c r="L12" i="72" a="1"/>
  <c r="L12" i="72"/>
  <c r="L11" i="72" a="1"/>
  <c r="L11" i="72" s="1"/>
  <c r="L10" i="72" a="1"/>
  <c r="L10" i="72" s="1"/>
  <c r="L9" i="72" a="1"/>
  <c r="L9" i="72" s="1"/>
  <c r="L8" i="72" a="1"/>
  <c r="L8" i="72" s="1"/>
  <c r="L7" i="72" a="1"/>
  <c r="L7" i="72"/>
  <c r="L6" i="72" a="1"/>
  <c r="L6" i="72" s="1"/>
  <c r="L5" i="72" a="1"/>
  <c r="L5" i="72" s="1"/>
  <c r="L4" i="72" a="1"/>
  <c r="L4" i="72" s="1"/>
  <c r="BN15" i="55" a="1"/>
  <c r="BN15" i="55" s="1"/>
  <c r="P37" i="31"/>
  <c r="P29" i="31"/>
  <c r="P30" i="31"/>
  <c r="P31" i="31"/>
  <c r="P32" i="31"/>
  <c r="P33" i="31"/>
  <c r="P34" i="31"/>
  <c r="P35" i="31"/>
  <c r="P36" i="31"/>
  <c r="P28" i="31"/>
  <c r="AG5" i="70"/>
  <c r="AB5" i="70"/>
  <c r="AF10" i="55"/>
  <c r="AG10" i="55"/>
  <c r="AH10" i="55"/>
  <c r="AI10" i="55"/>
  <c r="BG10" i="55" s="1"/>
  <c r="BI10" i="55" s="1"/>
  <c r="AJ10" i="55"/>
  <c r="AK10" i="55"/>
  <c r="AL10" i="55"/>
  <c r="AM10" i="55"/>
  <c r="AN10" i="55"/>
  <c r="AO10" i="55"/>
  <c r="AP10" i="55"/>
  <c r="AQ10" i="55"/>
  <c r="AR10" i="55"/>
  <c r="AT10" i="55" s="1"/>
  <c r="AS10" i="55"/>
  <c r="AU10" i="55"/>
  <c r="AV10" i="55"/>
  <c r="AW10" i="55"/>
  <c r="AX10" i="55"/>
  <c r="AY10" i="55" s="1"/>
  <c r="AZ10" i="55"/>
  <c r="BA10" i="55"/>
  <c r="BB10" i="55"/>
  <c r="BC10" i="55"/>
  <c r="BE10" i="55"/>
  <c r="BH10" i="55"/>
  <c r="BJ10" i="55" a="1"/>
  <c r="BJ10" i="55" s="1"/>
  <c r="BK10" i="55" a="1"/>
  <c r="BK10" i="55" s="1"/>
  <c r="BQ10" i="55"/>
  <c r="AF11" i="55"/>
  <c r="AG11" i="55"/>
  <c r="AH11" i="55"/>
  <c r="AI11" i="55"/>
  <c r="AJ11" i="55"/>
  <c r="AK11" i="55"/>
  <c r="AL11" i="55"/>
  <c r="AM11" i="55"/>
  <c r="AN11" i="55"/>
  <c r="AO11" i="55"/>
  <c r="AP11" i="55"/>
  <c r="AQ11" i="55"/>
  <c r="AR11" i="55"/>
  <c r="AT11" i="55" s="1"/>
  <c r="AS11" i="55"/>
  <c r="AU11" i="55"/>
  <c r="AV11" i="55"/>
  <c r="AW11" i="55"/>
  <c r="AY11" i="55" s="1"/>
  <c r="AX11" i="55"/>
  <c r="AZ11" i="55"/>
  <c r="BA11" i="55"/>
  <c r="BB11" i="55"/>
  <c r="BD11" i="55" s="1"/>
  <c r="BC11" i="55"/>
  <c r="BE11" i="55"/>
  <c r="BG11" i="55"/>
  <c r="BI11" i="55" s="1"/>
  <c r="BH11" i="55"/>
  <c r="AF12" i="55"/>
  <c r="AG12" i="55"/>
  <c r="AH12" i="55"/>
  <c r="BK12" i="55" s="1" a="1"/>
  <c r="BK12" i="55" s="1"/>
  <c r="BQ12" i="55" s="1"/>
  <c r="AI12" i="55"/>
  <c r="BG12" i="55" s="1"/>
  <c r="BI12" i="55" s="1"/>
  <c r="AJ12" i="55"/>
  <c r="AK12" i="55"/>
  <c r="AL12" i="55"/>
  <c r="AM12" i="55"/>
  <c r="AN12" i="55"/>
  <c r="AO12" i="55"/>
  <c r="AP12" i="55"/>
  <c r="AQ12" i="55"/>
  <c r="AR12" i="55"/>
  <c r="AS12" i="55"/>
  <c r="AT12" i="55" s="1"/>
  <c r="AU12" i="55"/>
  <c r="AV12" i="55"/>
  <c r="AW12" i="55"/>
  <c r="AX12" i="55"/>
  <c r="AY12" i="55"/>
  <c r="AZ12" i="55"/>
  <c r="BA12" i="55"/>
  <c r="BB12" i="55"/>
  <c r="BC12" i="55"/>
  <c r="BD12" i="55"/>
  <c r="BE12" i="55"/>
  <c r="BH12" i="55"/>
  <c r="BJ12" i="55" a="1"/>
  <c r="BJ12" i="55" s="1"/>
  <c r="AF13" i="55"/>
  <c r="AG13" i="55"/>
  <c r="AH13" i="55"/>
  <c r="BJ13" i="55" s="1" a="1"/>
  <c r="BJ13" i="55" s="1"/>
  <c r="BP13" i="55" s="1"/>
  <c r="AI13" i="55"/>
  <c r="AJ13" i="55"/>
  <c r="AK13" i="55"/>
  <c r="AL13" i="55"/>
  <c r="AM13" i="55"/>
  <c r="AN13" i="55"/>
  <c r="AO13" i="55"/>
  <c r="AP13" i="55"/>
  <c r="AQ13" i="55"/>
  <c r="AR13" i="55"/>
  <c r="AT13" i="55" s="1"/>
  <c r="AS13" i="55"/>
  <c r="AU13" i="55"/>
  <c r="AV13" i="55"/>
  <c r="AW13" i="55"/>
  <c r="AX13" i="55"/>
  <c r="AZ13" i="55"/>
  <c r="BA13" i="55"/>
  <c r="BB13" i="55"/>
  <c r="BC13" i="55"/>
  <c r="BD13" i="55" s="1"/>
  <c r="BE13" i="55"/>
  <c r="BG13" i="55"/>
  <c r="BI13" i="55" s="1"/>
  <c r="BH13" i="55"/>
  <c r="BK13" i="55" a="1"/>
  <c r="BK13" i="55" s="1"/>
  <c r="BL13" i="55"/>
  <c r="BQ13" i="55"/>
  <c r="BR13" i="55"/>
  <c r="AF14" i="55"/>
  <c r="AG14" i="55"/>
  <c r="AH14" i="55"/>
  <c r="BJ14" i="55" s="1" a="1"/>
  <c r="AI14" i="55"/>
  <c r="BG14" i="55" s="1"/>
  <c r="BI14" i="55" s="1"/>
  <c r="AJ14" i="55"/>
  <c r="AK14" i="55"/>
  <c r="AL14" i="55"/>
  <c r="AM14" i="55"/>
  <c r="AN14" i="55"/>
  <c r="AO14" i="55"/>
  <c r="AP14" i="55"/>
  <c r="AQ14" i="55"/>
  <c r="AR14" i="55"/>
  <c r="AS14" i="55"/>
  <c r="AT14" i="55"/>
  <c r="AU14" i="55"/>
  <c r="AV14" i="55"/>
  <c r="AW14" i="55"/>
  <c r="AY14" i="55" s="1"/>
  <c r="AX14" i="55"/>
  <c r="AZ14" i="55"/>
  <c r="BA14" i="55"/>
  <c r="BB14" i="55"/>
  <c r="BC14" i="55"/>
  <c r="BE14" i="55"/>
  <c r="BJ14" i="55"/>
  <c r="BP14" i="55" s="1"/>
  <c r="BK14" i="55" a="1"/>
  <c r="BK14" i="55" s="1"/>
  <c r="BQ14" i="55" s="1"/>
  <c r="BL14" i="55"/>
  <c r="AF15" i="55"/>
  <c r="AG15" i="55"/>
  <c r="AH15" i="55"/>
  <c r="BK15" i="55" s="1" a="1"/>
  <c r="BK15" i="55" s="1"/>
  <c r="BQ15" i="55" s="1"/>
  <c r="AI15" i="55"/>
  <c r="AJ15" i="55"/>
  <c r="AK15" i="55"/>
  <c r="AL15" i="55"/>
  <c r="AM15" i="55"/>
  <c r="AN15" i="55"/>
  <c r="AO15" i="55"/>
  <c r="AP15" i="55"/>
  <c r="AQ15" i="55"/>
  <c r="AR15" i="55"/>
  <c r="AS15" i="55"/>
  <c r="AT15" i="55"/>
  <c r="AU15" i="55"/>
  <c r="AV15" i="55"/>
  <c r="AW15" i="55"/>
  <c r="AY15" i="55" s="1"/>
  <c r="AX15" i="55"/>
  <c r="AZ15" i="55"/>
  <c r="BA15" i="55"/>
  <c r="BB15" i="55"/>
  <c r="BD15" i="55" s="1"/>
  <c r="BC15" i="55"/>
  <c r="BE15" i="55"/>
  <c r="BG15" i="55"/>
  <c r="BI15" i="55" s="1"/>
  <c r="BH15" i="55"/>
  <c r="BJ15" i="55" a="1"/>
  <c r="BJ15" i="55" s="1"/>
  <c r="AF16" i="55"/>
  <c r="AG16" i="55"/>
  <c r="AH16" i="55"/>
  <c r="AI16" i="55"/>
  <c r="AJ16" i="55"/>
  <c r="AK16" i="55"/>
  <c r="AL16" i="55"/>
  <c r="AM16" i="55"/>
  <c r="AN16" i="55"/>
  <c r="AO16" i="55"/>
  <c r="AP16" i="55"/>
  <c r="AQ16" i="55"/>
  <c r="AR16" i="55"/>
  <c r="AT16" i="55" s="1"/>
  <c r="AS16" i="55"/>
  <c r="AU16" i="55"/>
  <c r="AV16" i="55"/>
  <c r="AW16" i="55"/>
  <c r="AY16" i="55" s="1"/>
  <c r="AX16" i="55"/>
  <c r="AZ16" i="55"/>
  <c r="BA16" i="55"/>
  <c r="BB16" i="55"/>
  <c r="BD16" i="55" s="1"/>
  <c r="BC16" i="55"/>
  <c r="BE16" i="55"/>
  <c r="BG16" i="55"/>
  <c r="BH16" i="55"/>
  <c r="BI16" i="55"/>
  <c r="BJ16" i="55" a="1"/>
  <c r="BJ16" i="55"/>
  <c r="BL16" i="55" s="1"/>
  <c r="BK16" i="55" a="1"/>
  <c r="BK16" i="55" s="1"/>
  <c r="BO16" i="55" a="1"/>
  <c r="BO16" i="55"/>
  <c r="BP16" i="55"/>
  <c r="BQ16" i="55"/>
  <c r="AF17" i="55"/>
  <c r="AG17" i="55"/>
  <c r="AH17" i="55"/>
  <c r="AI17" i="55"/>
  <c r="BG17" i="55" s="1"/>
  <c r="AJ17" i="55"/>
  <c r="AK17" i="55"/>
  <c r="AL17" i="55"/>
  <c r="AM17" i="55"/>
  <c r="AN17" i="55"/>
  <c r="AO17" i="55"/>
  <c r="AP17" i="55"/>
  <c r="AQ17" i="55"/>
  <c r="AR17" i="55"/>
  <c r="AS17" i="55"/>
  <c r="AU17" i="55"/>
  <c r="AV17" i="55"/>
  <c r="AW17" i="55"/>
  <c r="AX17" i="55"/>
  <c r="AY17" i="55"/>
  <c r="AZ17" i="55"/>
  <c r="BA17" i="55"/>
  <c r="BB17" i="55"/>
  <c r="BD17" i="55" s="1"/>
  <c r="BC17" i="55"/>
  <c r="BE17" i="55"/>
  <c r="BH17" i="55"/>
  <c r="BI17" i="55"/>
  <c r="BJ17" i="55" a="1"/>
  <c r="BJ17" i="55"/>
  <c r="BK17" i="55" a="1"/>
  <c r="BK17" i="55"/>
  <c r="BQ17" i="55" s="1"/>
  <c r="AF18" i="55"/>
  <c r="AG18" i="55"/>
  <c r="AH18" i="55"/>
  <c r="BJ18" i="55" s="1" a="1"/>
  <c r="BJ18" i="55" s="1"/>
  <c r="AI18" i="55"/>
  <c r="AJ18" i="55"/>
  <c r="AK18" i="55"/>
  <c r="AL18" i="55"/>
  <c r="AM18" i="55"/>
  <c r="AN18" i="55"/>
  <c r="AO18" i="55"/>
  <c r="AP18" i="55"/>
  <c r="AQ18" i="55"/>
  <c r="AR18" i="55"/>
  <c r="AT18" i="55" s="1"/>
  <c r="AS18" i="55"/>
  <c r="AU18" i="55"/>
  <c r="AV18" i="55"/>
  <c r="AW18" i="55"/>
  <c r="AX18" i="55"/>
  <c r="AY18" i="55" s="1"/>
  <c r="AZ18" i="55"/>
  <c r="BA18" i="55"/>
  <c r="BB18" i="55"/>
  <c r="BD18" i="55" s="1"/>
  <c r="BC18" i="55"/>
  <c r="BE18" i="55"/>
  <c r="BG18" i="55"/>
  <c r="BI18" i="55" s="1"/>
  <c r="BH18" i="55"/>
  <c r="AF19" i="55"/>
  <c r="AG19" i="55"/>
  <c r="AH19" i="55"/>
  <c r="AI19" i="55"/>
  <c r="BG19" i="55" s="1"/>
  <c r="BI19" i="55" s="1"/>
  <c r="AJ19" i="55"/>
  <c r="AK19" i="55"/>
  <c r="AL19" i="55"/>
  <c r="AM19" i="55"/>
  <c r="AN19" i="55"/>
  <c r="AO19" i="55"/>
  <c r="AP19" i="55"/>
  <c r="AQ19" i="55"/>
  <c r="AR19" i="55"/>
  <c r="AS19" i="55"/>
  <c r="AT19" i="55"/>
  <c r="AU19" i="55"/>
  <c r="AV19" i="55"/>
  <c r="AW19" i="55"/>
  <c r="AX19" i="55"/>
  <c r="AY19" i="55" s="1"/>
  <c r="AZ19" i="55"/>
  <c r="BA19" i="55"/>
  <c r="BB19" i="55"/>
  <c r="BD19" i="55" s="1"/>
  <c r="BC19" i="55"/>
  <c r="BE19" i="55"/>
  <c r="BH19" i="55"/>
  <c r="AF20" i="55"/>
  <c r="AG20" i="55"/>
  <c r="AH20" i="55"/>
  <c r="BK20" i="55" s="1" a="1"/>
  <c r="AI20" i="55"/>
  <c r="AJ20" i="55"/>
  <c r="AK20" i="55"/>
  <c r="AL20" i="55"/>
  <c r="AM20" i="55"/>
  <c r="AN20" i="55"/>
  <c r="AO20" i="55"/>
  <c r="AP20" i="55"/>
  <c r="AQ20" i="55"/>
  <c r="AR20" i="55"/>
  <c r="AT20" i="55" s="1"/>
  <c r="AS20" i="55"/>
  <c r="AU20" i="55"/>
  <c r="AV20" i="55"/>
  <c r="AW20" i="55"/>
  <c r="AY20" i="55" s="1"/>
  <c r="AX20" i="55"/>
  <c r="AZ20" i="55"/>
  <c r="BA20" i="55"/>
  <c r="BB20" i="55"/>
  <c r="BC20" i="55"/>
  <c r="BD20" i="55"/>
  <c r="BE20" i="55"/>
  <c r="BJ20" i="55" a="1"/>
  <c r="BJ20" i="55" s="1"/>
  <c r="BP20" i="55" s="1"/>
  <c r="BK20" i="55"/>
  <c r="BQ20" i="55" s="1"/>
  <c r="AF21" i="55"/>
  <c r="AG21" i="55"/>
  <c r="AH21" i="55"/>
  <c r="BJ21" i="55" s="1" a="1"/>
  <c r="BJ21" i="55" s="1"/>
  <c r="AI21" i="55"/>
  <c r="AJ21" i="55"/>
  <c r="AK21" i="55"/>
  <c r="AL21" i="55"/>
  <c r="AM21" i="55"/>
  <c r="AN21" i="55"/>
  <c r="AO21" i="55"/>
  <c r="AP21" i="55"/>
  <c r="AQ21" i="55"/>
  <c r="AR21" i="55"/>
  <c r="AT21" i="55" s="1"/>
  <c r="AS21" i="55"/>
  <c r="AU21" i="55"/>
  <c r="AV21" i="55"/>
  <c r="AW21" i="55"/>
  <c r="AX21" i="55"/>
  <c r="AZ21" i="55"/>
  <c r="BA21" i="55"/>
  <c r="BB21" i="55"/>
  <c r="BC21" i="55"/>
  <c r="BD21" i="55"/>
  <c r="BE21" i="55"/>
  <c r="BG21" i="55"/>
  <c r="BH21" i="55"/>
  <c r="BI21" i="55"/>
  <c r="AF22" i="55"/>
  <c r="AG22" i="55"/>
  <c r="AH22" i="55"/>
  <c r="BJ22" i="55" s="1" a="1"/>
  <c r="BJ22" i="55" s="1"/>
  <c r="BL22" i="55" s="1"/>
  <c r="AI22" i="55"/>
  <c r="BG22" i="55" s="1"/>
  <c r="BI22" i="55" s="1"/>
  <c r="AJ22" i="55"/>
  <c r="AK22" i="55"/>
  <c r="AL22" i="55"/>
  <c r="AM22" i="55"/>
  <c r="AN22" i="55"/>
  <c r="AO22" i="55"/>
  <c r="AP22" i="55"/>
  <c r="AQ22" i="55"/>
  <c r="AR22" i="55"/>
  <c r="AS22" i="55"/>
  <c r="AT22" i="55"/>
  <c r="AU22" i="55"/>
  <c r="AV22" i="55"/>
  <c r="AW22" i="55"/>
  <c r="AY22" i="55" s="1"/>
  <c r="AX22" i="55"/>
  <c r="AZ22" i="55"/>
  <c r="BA22" i="55"/>
  <c r="BB22" i="55"/>
  <c r="BC22" i="55"/>
  <c r="BD22" i="55" s="1"/>
  <c r="BE22" i="55"/>
  <c r="BH22" i="55"/>
  <c r="BK22" i="55" a="1"/>
  <c r="BK22" i="55" s="1"/>
  <c r="BP22" i="55"/>
  <c r="BQ22" i="55"/>
  <c r="AF23" i="55"/>
  <c r="AG23" i="55"/>
  <c r="AH23" i="55"/>
  <c r="BJ23" i="55" s="1" a="1"/>
  <c r="AI23" i="55"/>
  <c r="AJ23" i="55"/>
  <c r="AK23" i="55"/>
  <c r="AL23" i="55"/>
  <c r="AM23" i="55"/>
  <c r="AN23" i="55"/>
  <c r="AO23" i="55"/>
  <c r="AP23" i="55"/>
  <c r="AQ23" i="55"/>
  <c r="AR23" i="55"/>
  <c r="AS23" i="55"/>
  <c r="AT23" i="55"/>
  <c r="AU23" i="55"/>
  <c r="AV23" i="55"/>
  <c r="AW23" i="55"/>
  <c r="AY23" i="55" s="1"/>
  <c r="AX23" i="55"/>
  <c r="AZ23" i="55"/>
  <c r="BA23" i="55"/>
  <c r="BB23" i="55"/>
  <c r="BC23" i="55"/>
  <c r="BE23" i="55"/>
  <c r="BG23" i="55"/>
  <c r="BI23" i="55" s="1"/>
  <c r="BH23" i="55"/>
  <c r="BJ23" i="55"/>
  <c r="BK23" i="55" a="1"/>
  <c r="BK23" i="55" s="1"/>
  <c r="BQ23" i="55" s="1"/>
  <c r="AF24" i="55"/>
  <c r="AG24" i="55"/>
  <c r="AH24" i="55"/>
  <c r="AI24" i="55"/>
  <c r="AJ24" i="55"/>
  <c r="AK24" i="55"/>
  <c r="AL24" i="55"/>
  <c r="AM24" i="55"/>
  <c r="AN24" i="55"/>
  <c r="AO24" i="55"/>
  <c r="AP24" i="55"/>
  <c r="AQ24" i="55"/>
  <c r="AR24" i="55"/>
  <c r="AS24" i="55"/>
  <c r="AT24" i="55" s="1"/>
  <c r="AU24" i="55"/>
  <c r="AV24" i="55"/>
  <c r="AW24" i="55"/>
  <c r="AY24" i="55" s="1"/>
  <c r="AX24" i="55"/>
  <c r="AZ24" i="55"/>
  <c r="BA24" i="55"/>
  <c r="BB24" i="55"/>
  <c r="BC24" i="55"/>
  <c r="BE24" i="55"/>
  <c r="BG24" i="55"/>
  <c r="BH24" i="55"/>
  <c r="BI24" i="55"/>
  <c r="BJ24" i="55" a="1"/>
  <c r="BJ24" i="55" s="1"/>
  <c r="BK24" i="55" a="1"/>
  <c r="BK24" i="55" s="1"/>
  <c r="BQ24" i="55"/>
  <c r="AF25" i="55"/>
  <c r="AG25" i="55"/>
  <c r="AH25" i="55"/>
  <c r="AI25" i="55"/>
  <c r="BG25" i="55" s="1"/>
  <c r="AJ25" i="55"/>
  <c r="AK25" i="55"/>
  <c r="AL25" i="55"/>
  <c r="AM25" i="55"/>
  <c r="AN25" i="55"/>
  <c r="AO25" i="55"/>
  <c r="AP25" i="55"/>
  <c r="AQ25" i="55"/>
  <c r="AR25" i="55"/>
  <c r="AS25" i="55"/>
  <c r="AT25" i="55"/>
  <c r="AU25" i="55"/>
  <c r="AV25" i="55"/>
  <c r="AW25" i="55"/>
  <c r="AX25" i="55"/>
  <c r="AY25" i="55"/>
  <c r="AZ25" i="55"/>
  <c r="BA25" i="55"/>
  <c r="BB25" i="55"/>
  <c r="BD25" i="55" s="1"/>
  <c r="BC25" i="55"/>
  <c r="BE25" i="55"/>
  <c r="BI25" i="55"/>
  <c r="BJ25" i="55" a="1"/>
  <c r="BJ25" i="55"/>
  <c r="BK25" i="55" a="1"/>
  <c r="BK25" i="55"/>
  <c r="BQ25" i="55" s="1"/>
  <c r="AF26" i="55"/>
  <c r="AG26" i="55"/>
  <c r="AH26" i="55"/>
  <c r="AI26" i="55"/>
  <c r="AJ26" i="55"/>
  <c r="AK26" i="55"/>
  <c r="AL26" i="55"/>
  <c r="AM26" i="55"/>
  <c r="AN26" i="55"/>
  <c r="AO26" i="55"/>
  <c r="AP26" i="55"/>
  <c r="AQ26" i="55"/>
  <c r="AR26" i="55"/>
  <c r="AS26" i="55"/>
  <c r="AU26" i="55"/>
  <c r="AV26" i="55"/>
  <c r="AW26" i="55"/>
  <c r="AX26" i="55"/>
  <c r="AY26" i="55" s="1"/>
  <c r="AZ26" i="55"/>
  <c r="BA26" i="55"/>
  <c r="BB26" i="55"/>
  <c r="BC26" i="55"/>
  <c r="BE26" i="55"/>
  <c r="BG26" i="55"/>
  <c r="BI26" i="55" s="1"/>
  <c r="BH26" i="55"/>
  <c r="AF27" i="55"/>
  <c r="AG27" i="55"/>
  <c r="AH27" i="55"/>
  <c r="AI27" i="55"/>
  <c r="BH27" i="55" s="1"/>
  <c r="AJ27" i="55"/>
  <c r="AK27" i="55"/>
  <c r="AL27" i="55"/>
  <c r="AM27" i="55"/>
  <c r="AN27" i="55"/>
  <c r="AO27" i="55"/>
  <c r="AP27" i="55"/>
  <c r="AQ27" i="55"/>
  <c r="AR27" i="55"/>
  <c r="AS27" i="55"/>
  <c r="AT27" i="55"/>
  <c r="AU27" i="55"/>
  <c r="AV27" i="55"/>
  <c r="AW27" i="55"/>
  <c r="AY27" i="55" s="1"/>
  <c r="AX27" i="55"/>
  <c r="AZ27" i="55"/>
  <c r="BA27" i="55"/>
  <c r="BB27" i="55"/>
  <c r="BD27" i="55" s="1"/>
  <c r="BC27" i="55"/>
  <c r="BE27" i="55"/>
  <c r="BG27" i="55"/>
  <c r="BI27" i="55" s="1"/>
  <c r="AF28" i="55"/>
  <c r="AG28" i="55"/>
  <c r="AH28" i="55"/>
  <c r="BK28" i="55" s="1" a="1"/>
  <c r="AI28" i="55"/>
  <c r="BG28" i="55" s="1"/>
  <c r="BI28" i="55" s="1"/>
  <c r="AJ28" i="55"/>
  <c r="AK28" i="55"/>
  <c r="AL28" i="55"/>
  <c r="AM28" i="55"/>
  <c r="AN28" i="55"/>
  <c r="AO28" i="55"/>
  <c r="AP28" i="55"/>
  <c r="AQ28" i="55"/>
  <c r="AR28" i="55"/>
  <c r="AS28" i="55"/>
  <c r="AU28" i="55"/>
  <c r="AV28" i="55"/>
  <c r="AW28" i="55"/>
  <c r="AX28" i="55"/>
  <c r="AY28" i="55"/>
  <c r="AZ28" i="55"/>
  <c r="BA28" i="55"/>
  <c r="BB28" i="55"/>
  <c r="BC28" i="55"/>
  <c r="BD28" i="55"/>
  <c r="BE28" i="55"/>
  <c r="BH28" i="55"/>
  <c r="BK28" i="55"/>
  <c r="BQ28" i="55" s="1"/>
  <c r="AF29" i="55"/>
  <c r="AG29" i="55"/>
  <c r="AH29" i="55"/>
  <c r="BJ29" i="55" s="1" a="1"/>
  <c r="BJ29" i="55" s="1"/>
  <c r="AI29" i="55"/>
  <c r="AJ29" i="55"/>
  <c r="AK29" i="55"/>
  <c r="AL29" i="55"/>
  <c r="AM29" i="55"/>
  <c r="AN29" i="55"/>
  <c r="AO29" i="55"/>
  <c r="AP29" i="55"/>
  <c r="AQ29" i="55"/>
  <c r="AR29" i="55"/>
  <c r="AT29" i="55" s="1"/>
  <c r="AS29" i="55"/>
  <c r="AU29" i="55"/>
  <c r="AV29" i="55"/>
  <c r="AW29" i="55"/>
  <c r="AY29" i="55" s="1"/>
  <c r="AX29" i="55"/>
  <c r="AZ29" i="55"/>
  <c r="BA29" i="55"/>
  <c r="BB29" i="55"/>
  <c r="BC29" i="55"/>
  <c r="BD29" i="55" s="1"/>
  <c r="BE29" i="55"/>
  <c r="BG29" i="55"/>
  <c r="BH29" i="55"/>
  <c r="BI29" i="55"/>
  <c r="BK29" i="55" a="1"/>
  <c r="BK29" i="55"/>
  <c r="BQ29" i="55" s="1"/>
  <c r="AF30" i="55"/>
  <c r="AG30" i="55"/>
  <c r="AH30" i="55"/>
  <c r="BJ30" i="55" s="1" a="1"/>
  <c r="BJ30" i="55" s="1"/>
  <c r="BL30" i="55" s="1"/>
  <c r="AI30" i="55"/>
  <c r="BG30" i="55" s="1"/>
  <c r="BI30" i="55" s="1"/>
  <c r="AJ30" i="55"/>
  <c r="AK30" i="55"/>
  <c r="AL30" i="55"/>
  <c r="AM30" i="55"/>
  <c r="AN30" i="55"/>
  <c r="AO30" i="55"/>
  <c r="AP30" i="55"/>
  <c r="AQ30" i="55"/>
  <c r="AR30" i="55"/>
  <c r="AS30" i="55"/>
  <c r="AT30" i="55"/>
  <c r="AU30" i="55"/>
  <c r="AV30" i="55"/>
  <c r="AW30" i="55"/>
  <c r="AY30" i="55" s="1"/>
  <c r="AX30" i="55"/>
  <c r="AZ30" i="55"/>
  <c r="BA30" i="55"/>
  <c r="BB30" i="55"/>
  <c r="BC30" i="55"/>
  <c r="BD30" i="55"/>
  <c r="BE30" i="55"/>
  <c r="BH30" i="55"/>
  <c r="BK30" i="55" a="1"/>
  <c r="BK30" i="55"/>
  <c r="BP30" i="55"/>
  <c r="BQ30" i="55"/>
  <c r="AF31" i="55"/>
  <c r="AG31" i="55"/>
  <c r="AH31" i="55"/>
  <c r="AI31" i="55"/>
  <c r="AJ31" i="55"/>
  <c r="AK31" i="55"/>
  <c r="AL31" i="55"/>
  <c r="AM31" i="55"/>
  <c r="AN31" i="55"/>
  <c r="AO31" i="55"/>
  <c r="AP31" i="55"/>
  <c r="AQ31" i="55"/>
  <c r="AR31" i="55"/>
  <c r="AS31" i="55"/>
  <c r="AT31" i="55" s="1"/>
  <c r="AU31" i="55"/>
  <c r="AV31" i="55"/>
  <c r="AW31" i="55"/>
  <c r="AX31" i="55"/>
  <c r="AZ31" i="55"/>
  <c r="BA31" i="55"/>
  <c r="BB31" i="55"/>
  <c r="BD31" i="55" s="1"/>
  <c r="BC31" i="55"/>
  <c r="BE31" i="55"/>
  <c r="BG31" i="55"/>
  <c r="BI31" i="55" s="1"/>
  <c r="BH31" i="55"/>
  <c r="BJ31" i="55" a="1"/>
  <c r="BJ31" i="55" s="1"/>
  <c r="BK31" i="55" a="1"/>
  <c r="BK31" i="55"/>
  <c r="BQ31" i="55" s="1"/>
  <c r="AF32" i="55"/>
  <c r="AG32" i="55"/>
  <c r="AH32" i="55"/>
  <c r="AI32" i="55"/>
  <c r="AJ32" i="55"/>
  <c r="AK32" i="55"/>
  <c r="AL32" i="55"/>
  <c r="AM32" i="55"/>
  <c r="AN32" i="55"/>
  <c r="AO32" i="55"/>
  <c r="AP32" i="55"/>
  <c r="AQ32" i="55"/>
  <c r="AR32" i="55"/>
  <c r="AT32" i="55" s="1"/>
  <c r="AS32" i="55"/>
  <c r="AU32" i="55"/>
  <c r="AV32" i="55"/>
  <c r="AW32" i="55"/>
  <c r="AY32" i="55" s="1"/>
  <c r="AX32" i="55"/>
  <c r="AZ32" i="55"/>
  <c r="BA32" i="55"/>
  <c r="BB32" i="55"/>
  <c r="BC32" i="55"/>
  <c r="BE32" i="55"/>
  <c r="BG32" i="55"/>
  <c r="BH32" i="55"/>
  <c r="BI32" i="55"/>
  <c r="BJ32" i="55" a="1"/>
  <c r="BJ32" i="55" s="1"/>
  <c r="BL32" i="55" s="1"/>
  <c r="BK32" i="55" a="1"/>
  <c r="BK32" i="55" s="1"/>
  <c r="BP32" i="55"/>
  <c r="BQ32" i="55"/>
  <c r="AF33" i="55"/>
  <c r="AG33" i="55"/>
  <c r="AH33" i="55"/>
  <c r="AI33" i="55"/>
  <c r="BG33" i="55" s="1"/>
  <c r="AJ33" i="55"/>
  <c r="AK33" i="55"/>
  <c r="AL33" i="55"/>
  <c r="AM33" i="55"/>
  <c r="AN33" i="55"/>
  <c r="AO33" i="55"/>
  <c r="AP33" i="55"/>
  <c r="AQ33" i="55"/>
  <c r="AR33" i="55"/>
  <c r="AS33" i="55"/>
  <c r="AT33" i="55"/>
  <c r="AU33" i="55"/>
  <c r="AV33" i="55"/>
  <c r="AW33" i="55"/>
  <c r="AX33" i="55"/>
  <c r="AY33" i="55"/>
  <c r="AZ33" i="55"/>
  <c r="BA33" i="55"/>
  <c r="BB33" i="55"/>
  <c r="BD33" i="55" s="1"/>
  <c r="BC33" i="55"/>
  <c r="BE33" i="55"/>
  <c r="BI33" i="55"/>
  <c r="BJ33" i="55" a="1"/>
  <c r="BJ33" i="55" s="1"/>
  <c r="BK33" i="55" a="1"/>
  <c r="BK33" i="55"/>
  <c r="BQ33" i="55" s="1"/>
  <c r="AF34" i="55"/>
  <c r="AG34" i="55"/>
  <c r="AH34" i="55"/>
  <c r="BK34" i="55" s="1" a="1"/>
  <c r="BK34" i="55" s="1"/>
  <c r="AI34" i="55"/>
  <c r="BG34" i="55" s="1"/>
  <c r="AJ34" i="55"/>
  <c r="AK34" i="55"/>
  <c r="AL34" i="55"/>
  <c r="AM34" i="55"/>
  <c r="AN34" i="55"/>
  <c r="AO34" i="55"/>
  <c r="AP34" i="55"/>
  <c r="AQ34" i="55"/>
  <c r="AR34" i="55"/>
  <c r="AT34" i="55" s="1"/>
  <c r="AS34" i="55"/>
  <c r="AU34" i="55"/>
  <c r="AV34" i="55"/>
  <c r="AW34" i="55"/>
  <c r="AX34" i="55"/>
  <c r="AY34" i="55" s="1"/>
  <c r="AZ34" i="55"/>
  <c r="BA34" i="55"/>
  <c r="BB34" i="55"/>
  <c r="BC34" i="55"/>
  <c r="BE34" i="55"/>
  <c r="BH34" i="55"/>
  <c r="BI34" i="55"/>
  <c r="BJ34" i="55" a="1"/>
  <c r="BJ34" i="55" s="1"/>
  <c r="BQ34" i="55"/>
  <c r="AF35" i="55"/>
  <c r="AG35" i="55"/>
  <c r="AH35" i="55"/>
  <c r="BK35" i="55" s="1" a="1"/>
  <c r="BK35" i="55" s="1"/>
  <c r="BQ35" i="55" s="1"/>
  <c r="AI35" i="55"/>
  <c r="AJ35" i="55"/>
  <c r="AK35" i="55"/>
  <c r="AL35" i="55"/>
  <c r="AM35" i="55"/>
  <c r="AN35" i="55"/>
  <c r="AO35" i="55"/>
  <c r="AP35" i="55"/>
  <c r="AQ35" i="55"/>
  <c r="AR35" i="55"/>
  <c r="AS35" i="55"/>
  <c r="AT35" i="55"/>
  <c r="AU35" i="55"/>
  <c r="AV35" i="55"/>
  <c r="AW35" i="55"/>
  <c r="AY35" i="55" s="1"/>
  <c r="AX35" i="55"/>
  <c r="AZ35" i="55"/>
  <c r="BA35" i="55"/>
  <c r="BB35" i="55"/>
  <c r="BD35" i="55" s="1"/>
  <c r="BC35" i="55"/>
  <c r="BE35" i="55"/>
  <c r="BG35" i="55"/>
  <c r="BI35" i="55" s="1"/>
  <c r="BH35" i="55"/>
  <c r="AF36" i="55"/>
  <c r="AG36" i="55"/>
  <c r="AH36" i="55"/>
  <c r="BK36" i="55" s="1" a="1"/>
  <c r="AI36" i="55"/>
  <c r="AJ36" i="55"/>
  <c r="AK36" i="55"/>
  <c r="AL36" i="55"/>
  <c r="AM36" i="55"/>
  <c r="AN36" i="55"/>
  <c r="AO36" i="55"/>
  <c r="AP36" i="55"/>
  <c r="AQ36" i="55"/>
  <c r="AR36" i="55"/>
  <c r="AT36" i="55" s="1"/>
  <c r="AS36" i="55"/>
  <c r="AU36" i="55"/>
  <c r="AV36" i="55"/>
  <c r="AW36" i="55"/>
  <c r="AX36" i="55"/>
  <c r="AY36" i="55" s="1"/>
  <c r="AZ36" i="55"/>
  <c r="BA36" i="55"/>
  <c r="BB36" i="55"/>
  <c r="BC36" i="55"/>
  <c r="BD36" i="55"/>
  <c r="BE36" i="55"/>
  <c r="BJ36" i="55" a="1"/>
  <c r="BJ36" i="55" s="1"/>
  <c r="BK36" i="55"/>
  <c r="BQ36" i="55" s="1"/>
  <c r="AF37" i="55"/>
  <c r="AG37" i="55"/>
  <c r="AH37" i="55"/>
  <c r="BJ37" i="55" s="1" a="1"/>
  <c r="BJ37" i="55" s="1"/>
  <c r="BP37" i="55" s="1"/>
  <c r="AI37" i="55"/>
  <c r="AJ37" i="55"/>
  <c r="AK37" i="55"/>
  <c r="AL37" i="55"/>
  <c r="AM37" i="55"/>
  <c r="AN37" i="55"/>
  <c r="AO37" i="55"/>
  <c r="AP37" i="55"/>
  <c r="AQ37" i="55"/>
  <c r="AR37" i="55"/>
  <c r="AT37" i="55" s="1"/>
  <c r="AS37" i="55"/>
  <c r="AU37" i="55"/>
  <c r="AV37" i="55"/>
  <c r="AW37" i="55"/>
  <c r="AY37" i="55" s="1"/>
  <c r="AX37" i="55"/>
  <c r="AZ37" i="55"/>
  <c r="BA37" i="55"/>
  <c r="BB37" i="55"/>
  <c r="BC37" i="55"/>
  <c r="BD37" i="55"/>
  <c r="BE37" i="55"/>
  <c r="BG37" i="55"/>
  <c r="BI37" i="55" s="1"/>
  <c r="BH37" i="55"/>
  <c r="AF38" i="55"/>
  <c r="AG38" i="55"/>
  <c r="AH38" i="55"/>
  <c r="BJ38" i="55" s="1" a="1"/>
  <c r="AI38" i="55"/>
  <c r="BG38" i="55" s="1"/>
  <c r="BI38" i="55" s="1"/>
  <c r="AJ38" i="55"/>
  <c r="AK38" i="55"/>
  <c r="AL38" i="55"/>
  <c r="AM38" i="55"/>
  <c r="AN38" i="55"/>
  <c r="AO38" i="55"/>
  <c r="AP38" i="55"/>
  <c r="AQ38" i="55"/>
  <c r="AR38" i="55"/>
  <c r="AS38" i="55"/>
  <c r="AT38" i="55"/>
  <c r="AU38" i="55"/>
  <c r="AV38" i="55"/>
  <c r="AW38" i="55"/>
  <c r="AX38" i="55"/>
  <c r="AY38" i="55"/>
  <c r="AZ38" i="55"/>
  <c r="BA38" i="55"/>
  <c r="BB38" i="55"/>
  <c r="BD38" i="55" s="1"/>
  <c r="BC38" i="55"/>
  <c r="BE38" i="55"/>
  <c r="BH38" i="55"/>
  <c r="BJ38" i="55"/>
  <c r="BK38" i="55" a="1"/>
  <c r="BK38" i="55" s="1"/>
  <c r="BQ38" i="55" s="1"/>
  <c r="AF39" i="55"/>
  <c r="AG39" i="55"/>
  <c r="AH39" i="55"/>
  <c r="BJ39" i="55" s="1" a="1"/>
  <c r="BJ39" i="55" s="1"/>
  <c r="BP39" i="55" s="1"/>
  <c r="AI39" i="55"/>
  <c r="AJ39" i="55"/>
  <c r="AK39" i="55"/>
  <c r="AL39" i="55"/>
  <c r="AM39" i="55"/>
  <c r="AN39" i="55"/>
  <c r="AO39" i="55"/>
  <c r="AP39" i="55"/>
  <c r="AQ39" i="55"/>
  <c r="AR39" i="55"/>
  <c r="AS39" i="55"/>
  <c r="AT39" i="55"/>
  <c r="AU39" i="55"/>
  <c r="AV39" i="55"/>
  <c r="AW39" i="55"/>
  <c r="AY39" i="55" s="1"/>
  <c r="AX39" i="55"/>
  <c r="AZ39" i="55"/>
  <c r="BA39" i="55"/>
  <c r="BB39" i="55"/>
  <c r="BC39" i="55"/>
  <c r="BD39" i="55"/>
  <c r="BE39" i="55"/>
  <c r="BG39" i="55"/>
  <c r="BI39" i="55" s="1"/>
  <c r="BH39" i="55"/>
  <c r="BK39" i="55" a="1"/>
  <c r="BK39" i="55"/>
  <c r="BQ39" i="55" s="1"/>
  <c r="AF40" i="55"/>
  <c r="AG40" i="55"/>
  <c r="AH40" i="55"/>
  <c r="AI40" i="55"/>
  <c r="AJ40" i="55"/>
  <c r="AK40" i="55"/>
  <c r="AL40" i="55"/>
  <c r="AM40" i="55"/>
  <c r="AN40" i="55"/>
  <c r="AO40" i="55"/>
  <c r="AP40" i="55"/>
  <c r="AQ40" i="55"/>
  <c r="AR40" i="55"/>
  <c r="AT40" i="55" s="1"/>
  <c r="AS40" i="55"/>
  <c r="AU40" i="55"/>
  <c r="AV40" i="55"/>
  <c r="AW40" i="55"/>
  <c r="AY40" i="55" s="1"/>
  <c r="AX40" i="55"/>
  <c r="AZ40" i="55"/>
  <c r="BA40" i="55"/>
  <c r="BB40" i="55"/>
  <c r="BC40" i="55"/>
  <c r="BD40" i="55"/>
  <c r="BE40" i="55"/>
  <c r="BG40" i="55"/>
  <c r="BH40" i="55"/>
  <c r="BI40" i="55"/>
  <c r="BJ40" i="55" a="1"/>
  <c r="BJ40" i="55" s="1"/>
  <c r="BL40" i="55" s="1"/>
  <c r="BO40" i="55" s="1" a="1"/>
  <c r="BO40" i="55" s="1"/>
  <c r="BK40" i="55" a="1"/>
  <c r="BK40" i="55"/>
  <c r="BP40" i="55"/>
  <c r="BQ40" i="55"/>
  <c r="AF41" i="55"/>
  <c r="AG41" i="55"/>
  <c r="AH41" i="55"/>
  <c r="AI41" i="55"/>
  <c r="AJ41" i="55"/>
  <c r="AK41" i="55"/>
  <c r="AL41" i="55"/>
  <c r="AM41" i="55"/>
  <c r="AN41" i="55"/>
  <c r="AO41" i="55"/>
  <c r="AP41" i="55"/>
  <c r="AQ41" i="55"/>
  <c r="AR41" i="55"/>
  <c r="AT41" i="55" s="1"/>
  <c r="AS41" i="55"/>
  <c r="AU41" i="55"/>
  <c r="AV41" i="55"/>
  <c r="AW41" i="55"/>
  <c r="AX41" i="55"/>
  <c r="AY41" i="55"/>
  <c r="AZ41" i="55"/>
  <c r="BA41" i="55"/>
  <c r="BB41" i="55"/>
  <c r="BD41" i="55" s="1"/>
  <c r="BC41" i="55"/>
  <c r="BE41" i="55"/>
  <c r="BJ41" i="55" a="1"/>
  <c r="BJ41" i="55"/>
  <c r="BL41" i="55" s="1"/>
  <c r="BK41" i="55" a="1"/>
  <c r="BK41" i="55" s="1"/>
  <c r="BQ41" i="55" s="1"/>
  <c r="BR41" i="55"/>
  <c r="AF42" i="55"/>
  <c r="AG42" i="55"/>
  <c r="AH42" i="55"/>
  <c r="AI42" i="55"/>
  <c r="BG42" i="55" s="1"/>
  <c r="BI42" i="55" s="1"/>
  <c r="AJ42" i="55"/>
  <c r="AK42" i="55"/>
  <c r="AL42" i="55"/>
  <c r="AM42" i="55"/>
  <c r="AN42" i="55"/>
  <c r="AO42" i="55"/>
  <c r="AP42" i="55"/>
  <c r="AQ42" i="55"/>
  <c r="AR42" i="55"/>
  <c r="AS42" i="55"/>
  <c r="AT42" i="55" s="1"/>
  <c r="AU42" i="55"/>
  <c r="AV42" i="55"/>
  <c r="AW42" i="55"/>
  <c r="AX42" i="55"/>
  <c r="AY42" i="55"/>
  <c r="AZ42" i="55"/>
  <c r="BA42" i="55"/>
  <c r="BB42" i="55"/>
  <c r="BC42" i="55"/>
  <c r="BE42" i="55"/>
  <c r="BJ42" i="55" a="1"/>
  <c r="BJ42" i="55"/>
  <c r="BK42" i="55" a="1"/>
  <c r="BK42" i="55" s="1"/>
  <c r="BQ42" i="55" s="1"/>
  <c r="AF43" i="55"/>
  <c r="AG43" i="55"/>
  <c r="AH43" i="55"/>
  <c r="AI43" i="55"/>
  <c r="AJ43" i="55"/>
  <c r="AK43" i="55"/>
  <c r="AL43" i="55"/>
  <c r="AM43" i="55"/>
  <c r="AN43" i="55"/>
  <c r="AO43" i="55"/>
  <c r="AP43" i="55"/>
  <c r="AQ43" i="55"/>
  <c r="AR43" i="55"/>
  <c r="AS43" i="55"/>
  <c r="AT43" i="55"/>
  <c r="AU43" i="55"/>
  <c r="AV43" i="55"/>
  <c r="AW43" i="55"/>
  <c r="AX43" i="55"/>
  <c r="AZ43" i="55"/>
  <c r="BA43" i="55"/>
  <c r="BB43" i="55"/>
  <c r="BD43" i="55" s="1"/>
  <c r="BC43" i="55"/>
  <c r="BE43" i="55"/>
  <c r="BG43" i="55"/>
  <c r="BI43" i="55" s="1"/>
  <c r="BH43" i="55"/>
  <c r="AF44" i="55"/>
  <c r="AG44" i="55"/>
  <c r="AH44" i="55"/>
  <c r="BK44" i="55" s="1" a="1"/>
  <c r="AI44" i="55"/>
  <c r="BG44" i="55" s="1"/>
  <c r="BI44" i="55" s="1"/>
  <c r="AJ44" i="55"/>
  <c r="AK44" i="55"/>
  <c r="AL44" i="55"/>
  <c r="AM44" i="55"/>
  <c r="AN44" i="55"/>
  <c r="AO44" i="55"/>
  <c r="AP44" i="55"/>
  <c r="AQ44" i="55"/>
  <c r="AR44" i="55"/>
  <c r="AS44" i="55"/>
  <c r="AU44" i="55"/>
  <c r="AV44" i="55"/>
  <c r="AW44" i="55"/>
  <c r="AX44" i="55"/>
  <c r="AY44" i="55"/>
  <c r="AZ44" i="55"/>
  <c r="BA44" i="55"/>
  <c r="BB44" i="55"/>
  <c r="BC44" i="55"/>
  <c r="BD44" i="55"/>
  <c r="BE44" i="55"/>
  <c r="BH44" i="55"/>
  <c r="BJ44" i="55" a="1"/>
  <c r="BJ44" i="55" s="1"/>
  <c r="BK44" i="55"/>
  <c r="BQ44" i="55" s="1"/>
  <c r="AF45" i="55"/>
  <c r="AG45" i="55"/>
  <c r="AH45" i="55"/>
  <c r="AI45" i="55"/>
  <c r="AJ45" i="55"/>
  <c r="AK45" i="55"/>
  <c r="AL45" i="55"/>
  <c r="AM45" i="55"/>
  <c r="AN45" i="55"/>
  <c r="AO45" i="55"/>
  <c r="AP45" i="55"/>
  <c r="AQ45" i="55"/>
  <c r="AR45" i="55"/>
  <c r="AT45" i="55" s="1"/>
  <c r="AS45" i="55"/>
  <c r="AU45" i="55"/>
  <c r="AV45" i="55"/>
  <c r="AW45" i="55"/>
  <c r="AX45" i="55"/>
  <c r="AY45" i="55"/>
  <c r="AZ45" i="55"/>
  <c r="BA45" i="55"/>
  <c r="BB45" i="55"/>
  <c r="BC45" i="55"/>
  <c r="BD45" i="55" s="1"/>
  <c r="BE45" i="55"/>
  <c r="BG45" i="55"/>
  <c r="BI45" i="55" s="1"/>
  <c r="BH45" i="55"/>
  <c r="AF46" i="55"/>
  <c r="AG46" i="55"/>
  <c r="AH46" i="55"/>
  <c r="BJ46" i="55" s="1" a="1"/>
  <c r="AI46" i="55"/>
  <c r="AJ46" i="55"/>
  <c r="AK46" i="55"/>
  <c r="AL46" i="55"/>
  <c r="AM46" i="55"/>
  <c r="AN46" i="55"/>
  <c r="AO46" i="55"/>
  <c r="AP46" i="55"/>
  <c r="AQ46" i="55"/>
  <c r="AR46" i="55"/>
  <c r="AS46" i="55"/>
  <c r="AT46" i="55"/>
  <c r="AU46" i="55"/>
  <c r="AV46" i="55"/>
  <c r="AW46" i="55"/>
  <c r="AX46" i="55"/>
  <c r="AY46" i="55" s="1"/>
  <c r="AZ46" i="55"/>
  <c r="BA46" i="55"/>
  <c r="BB46" i="55"/>
  <c r="BD46" i="55" s="1"/>
  <c r="BC46" i="55"/>
  <c r="BE46" i="55"/>
  <c r="BG46" i="55"/>
  <c r="BI46" i="55" s="1"/>
  <c r="BH46" i="55"/>
  <c r="BJ46" i="55"/>
  <c r="BK46" i="55" a="1"/>
  <c r="BK46" i="55"/>
  <c r="BQ46" i="55" s="1"/>
  <c r="AF47" i="55"/>
  <c r="AG47" i="55"/>
  <c r="AH47" i="55"/>
  <c r="BJ47" i="55" s="1" a="1"/>
  <c r="BJ47" i="55" s="1"/>
  <c r="BP47" i="55" s="1"/>
  <c r="AI47" i="55"/>
  <c r="AJ47" i="55"/>
  <c r="AK47" i="55"/>
  <c r="AL47" i="55"/>
  <c r="AM47" i="55"/>
  <c r="AN47" i="55"/>
  <c r="AO47" i="55"/>
  <c r="AP47" i="55"/>
  <c r="AQ47" i="55"/>
  <c r="AR47" i="55"/>
  <c r="AS47" i="55"/>
  <c r="AT47" i="55" s="1"/>
  <c r="AU47" i="55"/>
  <c r="AV47" i="55"/>
  <c r="AW47" i="55"/>
  <c r="AY47" i="55" s="1"/>
  <c r="AX47" i="55"/>
  <c r="AZ47" i="55"/>
  <c r="BA47" i="55"/>
  <c r="BB47" i="55"/>
  <c r="BC47" i="55"/>
  <c r="BD47" i="55"/>
  <c r="BE47" i="55"/>
  <c r="BG47" i="55"/>
  <c r="BI47" i="55" s="1"/>
  <c r="BH47" i="55"/>
  <c r="BL47" i="55"/>
  <c r="AF48" i="55"/>
  <c r="AG48" i="55"/>
  <c r="AH48" i="55"/>
  <c r="AI48" i="55"/>
  <c r="AJ48" i="55"/>
  <c r="AK48" i="55"/>
  <c r="AL48" i="55"/>
  <c r="AM48" i="55"/>
  <c r="AN48" i="55"/>
  <c r="AO48" i="55"/>
  <c r="AP48" i="55"/>
  <c r="AQ48" i="55"/>
  <c r="AR48" i="55"/>
  <c r="AT48" i="55" s="1"/>
  <c r="AS48" i="55"/>
  <c r="AU48" i="55"/>
  <c r="AV48" i="55"/>
  <c r="AW48" i="55"/>
  <c r="AY48" i="55" s="1"/>
  <c r="AX48" i="55"/>
  <c r="AZ48" i="55"/>
  <c r="BA48" i="55"/>
  <c r="BB48" i="55"/>
  <c r="BD48" i="55" s="1"/>
  <c r="BC48" i="55"/>
  <c r="BE48" i="55"/>
  <c r="BG48" i="55"/>
  <c r="BH48" i="55"/>
  <c r="BI48" i="55"/>
  <c r="BJ48" i="55" a="1"/>
  <c r="BJ48" i="55" s="1"/>
  <c r="BL48" i="55" s="1"/>
  <c r="BK48" i="55" a="1"/>
  <c r="BK48" i="55" s="1"/>
  <c r="BQ48" i="55" s="1"/>
  <c r="BP48" i="55"/>
  <c r="AF49" i="55"/>
  <c r="AG49" i="55"/>
  <c r="AH49" i="55"/>
  <c r="AI49" i="55"/>
  <c r="BG49" i="55" s="1"/>
  <c r="AJ49" i="55"/>
  <c r="AK49" i="55"/>
  <c r="AL49" i="55"/>
  <c r="AM49" i="55"/>
  <c r="AN49" i="55"/>
  <c r="AO49" i="55"/>
  <c r="AP49" i="55"/>
  <c r="AQ49" i="55"/>
  <c r="AR49" i="55"/>
  <c r="AS49" i="55"/>
  <c r="AT49" i="55"/>
  <c r="AU49" i="55"/>
  <c r="AV49" i="55"/>
  <c r="AW49" i="55"/>
  <c r="AX49" i="55"/>
  <c r="AY49" i="55"/>
  <c r="AZ49" i="55"/>
  <c r="BA49" i="55"/>
  <c r="BB49" i="55"/>
  <c r="BD49" i="55" s="1"/>
  <c r="BC49" i="55"/>
  <c r="BE49" i="55"/>
  <c r="BH49" i="55"/>
  <c r="BI49" i="55"/>
  <c r="BJ49" i="55" a="1"/>
  <c r="BJ49" i="55" s="1"/>
  <c r="BK49" i="55" a="1"/>
  <c r="BK49" i="55" s="1"/>
  <c r="BQ49" i="55"/>
  <c r="AF50" i="55"/>
  <c r="AG50" i="55"/>
  <c r="AH50" i="55"/>
  <c r="BJ50" i="55" s="1" a="1"/>
  <c r="BJ50" i="55" s="1"/>
  <c r="AI50" i="55"/>
  <c r="AJ50" i="55"/>
  <c r="AK50" i="55"/>
  <c r="AL50" i="55"/>
  <c r="AM50" i="55"/>
  <c r="AN50" i="55"/>
  <c r="AO50" i="55"/>
  <c r="AP50" i="55"/>
  <c r="AQ50" i="55"/>
  <c r="AR50" i="55"/>
  <c r="AS50" i="55"/>
  <c r="AT50" i="55"/>
  <c r="AU50" i="55"/>
  <c r="AV50" i="55"/>
  <c r="AW50" i="55"/>
  <c r="AY50" i="55" s="1"/>
  <c r="AX50" i="55"/>
  <c r="AZ50" i="55"/>
  <c r="BA50" i="55"/>
  <c r="BB50" i="55"/>
  <c r="BD50" i="55" s="1"/>
  <c r="BC50" i="55"/>
  <c r="BE50" i="55"/>
  <c r="BG50" i="55"/>
  <c r="BH50" i="55"/>
  <c r="BI50" i="55"/>
  <c r="BK50" i="55" a="1"/>
  <c r="BK50" i="55"/>
  <c r="BQ50" i="55" s="1"/>
  <c r="AF51" i="55"/>
  <c r="AG51" i="55"/>
  <c r="AH51" i="55"/>
  <c r="AI51" i="55"/>
  <c r="BG51" i="55" s="1"/>
  <c r="BI51" i="55" s="1"/>
  <c r="AJ51" i="55"/>
  <c r="AK51" i="55"/>
  <c r="AL51" i="55"/>
  <c r="AM51" i="55"/>
  <c r="AN51" i="55"/>
  <c r="AO51" i="55"/>
  <c r="AP51" i="55"/>
  <c r="AQ51" i="55"/>
  <c r="AR51" i="55"/>
  <c r="AS51" i="55"/>
  <c r="AT51" i="55" s="1"/>
  <c r="AU51" i="55"/>
  <c r="AV51" i="55"/>
  <c r="AW51" i="55"/>
  <c r="AX51" i="55"/>
  <c r="AY51" i="55"/>
  <c r="AZ51" i="55"/>
  <c r="BA51" i="55"/>
  <c r="BB51" i="55"/>
  <c r="BC51" i="55"/>
  <c r="BE51" i="55"/>
  <c r="BH51" i="55"/>
  <c r="BJ51" i="55" a="1"/>
  <c r="BJ51" i="55"/>
  <c r="BL51" i="55" s="1"/>
  <c r="BR51" i="55" s="1"/>
  <c r="BK51" i="55" a="1"/>
  <c r="BK51" i="55" s="1"/>
  <c r="BQ51" i="55" s="1"/>
  <c r="AF52" i="55"/>
  <c r="AG52" i="55"/>
  <c r="AH52" i="55"/>
  <c r="AI52" i="55"/>
  <c r="AJ52" i="55"/>
  <c r="AK52" i="55"/>
  <c r="AL52" i="55"/>
  <c r="AM52" i="55"/>
  <c r="AN52" i="55"/>
  <c r="AO52" i="55"/>
  <c r="AP52" i="55"/>
  <c r="AQ52" i="55"/>
  <c r="AR52" i="55"/>
  <c r="AS52" i="55"/>
  <c r="AT52" i="55" s="1"/>
  <c r="AU52" i="55"/>
  <c r="AV52" i="55"/>
  <c r="AW52" i="55"/>
  <c r="AX52" i="55"/>
  <c r="AY52" i="55" s="1"/>
  <c r="AZ52" i="55"/>
  <c r="BA52" i="55"/>
  <c r="BB52" i="55"/>
  <c r="BD52" i="55" s="1"/>
  <c r="BC52" i="55"/>
  <c r="BE52" i="55"/>
  <c r="BG52" i="55"/>
  <c r="BH52" i="55"/>
  <c r="BI52" i="55"/>
  <c r="BJ52" i="55" a="1"/>
  <c r="BJ52" i="55" s="1"/>
  <c r="BK52" i="55" a="1"/>
  <c r="BK52" i="55" s="1"/>
  <c r="BQ52" i="55" s="1"/>
  <c r="AF53" i="55"/>
  <c r="AG53" i="55"/>
  <c r="AH53" i="55"/>
  <c r="AI53" i="55"/>
  <c r="AJ53" i="55"/>
  <c r="AK53" i="55"/>
  <c r="AL53" i="55"/>
  <c r="AM53" i="55"/>
  <c r="AN53" i="55"/>
  <c r="AO53" i="55"/>
  <c r="AP53" i="55"/>
  <c r="AQ53" i="55"/>
  <c r="AR53" i="55"/>
  <c r="AT53" i="55" s="1"/>
  <c r="AS53" i="55"/>
  <c r="AU53" i="55"/>
  <c r="AV53" i="55"/>
  <c r="AW53" i="55"/>
  <c r="AX53" i="55"/>
  <c r="AY53" i="55"/>
  <c r="AZ53" i="55"/>
  <c r="BA53" i="55"/>
  <c r="BB53" i="55"/>
  <c r="BD53" i="55" s="1"/>
  <c r="BC53" i="55"/>
  <c r="BE53" i="55"/>
  <c r="BJ53" i="55" a="1"/>
  <c r="BJ53" i="55" s="1"/>
  <c r="BK53" i="55" a="1"/>
  <c r="BK53" i="55" s="1"/>
  <c r="BQ53" i="55" s="1"/>
  <c r="AF54" i="55"/>
  <c r="AG54" i="55"/>
  <c r="AH54" i="55"/>
  <c r="AI54" i="55"/>
  <c r="AJ54" i="55"/>
  <c r="AK54" i="55"/>
  <c r="AL54" i="55"/>
  <c r="AM54" i="55"/>
  <c r="AN54" i="55"/>
  <c r="AO54" i="55"/>
  <c r="AP54" i="55"/>
  <c r="AQ54" i="55"/>
  <c r="AR54" i="55"/>
  <c r="AS54" i="55"/>
  <c r="AU54" i="55"/>
  <c r="AV54" i="55"/>
  <c r="AW54" i="55"/>
  <c r="AX54" i="55"/>
  <c r="AY54" i="55"/>
  <c r="AZ54" i="55"/>
  <c r="BA54" i="55"/>
  <c r="BB54" i="55"/>
  <c r="BC54" i="55"/>
  <c r="BD54" i="55"/>
  <c r="BE54" i="55"/>
  <c r="AF55" i="55"/>
  <c r="AG55" i="55"/>
  <c r="AH55" i="55"/>
  <c r="AI55" i="55"/>
  <c r="AJ55" i="55"/>
  <c r="AK55" i="55"/>
  <c r="AL55" i="55"/>
  <c r="AM55" i="55"/>
  <c r="AN55" i="55"/>
  <c r="AO55" i="55"/>
  <c r="AP55" i="55"/>
  <c r="AQ55" i="55"/>
  <c r="AR55" i="55"/>
  <c r="AT55" i="55" s="1"/>
  <c r="AS55" i="55"/>
  <c r="AU55" i="55"/>
  <c r="AV55" i="55"/>
  <c r="AW55" i="55"/>
  <c r="AX55" i="55"/>
  <c r="AZ55" i="55"/>
  <c r="BA55" i="55"/>
  <c r="BB55" i="55"/>
  <c r="BC55" i="55"/>
  <c r="BD55" i="55" s="1"/>
  <c r="BE55" i="55"/>
  <c r="BG55" i="55"/>
  <c r="BI55" i="55" s="1"/>
  <c r="BH55" i="55"/>
  <c r="AF56" i="55"/>
  <c r="AG56" i="55"/>
  <c r="AH56" i="55"/>
  <c r="AI56" i="55"/>
  <c r="BG56" i="55" s="1"/>
  <c r="BI56" i="55" s="1"/>
  <c r="AJ56" i="55"/>
  <c r="AK56" i="55"/>
  <c r="AL56" i="55"/>
  <c r="AM56" i="55"/>
  <c r="AN56" i="55"/>
  <c r="AO56" i="55"/>
  <c r="AP56" i="55"/>
  <c r="AQ56" i="55"/>
  <c r="AR56" i="55"/>
  <c r="AS56" i="55"/>
  <c r="AT56" i="55"/>
  <c r="AU56" i="55"/>
  <c r="AV56" i="55"/>
  <c r="AW56" i="55"/>
  <c r="AX56" i="55"/>
  <c r="AY56" i="55"/>
  <c r="AZ56" i="55"/>
  <c r="BA56" i="55"/>
  <c r="BB56" i="55"/>
  <c r="BC56" i="55"/>
  <c r="BD56" i="55"/>
  <c r="BE56" i="55"/>
  <c r="BH56" i="55"/>
  <c r="AF57" i="55"/>
  <c r="AG57" i="55"/>
  <c r="AH57" i="55"/>
  <c r="AI57" i="55"/>
  <c r="AJ57" i="55"/>
  <c r="AK57" i="55"/>
  <c r="AL57" i="55"/>
  <c r="AM57" i="55"/>
  <c r="AN57" i="55"/>
  <c r="AO57" i="55"/>
  <c r="AP57" i="55"/>
  <c r="AQ57" i="55"/>
  <c r="AR57" i="55"/>
  <c r="AS57" i="55"/>
  <c r="AT57" i="55" s="1"/>
  <c r="AU57" i="55"/>
  <c r="AV57" i="55"/>
  <c r="AW57" i="55"/>
  <c r="AX57" i="55"/>
  <c r="AZ57" i="55"/>
  <c r="BA57" i="55"/>
  <c r="BB57" i="55"/>
  <c r="BC57" i="55"/>
  <c r="BD57" i="55" s="1"/>
  <c r="BE57" i="55"/>
  <c r="BG57" i="55"/>
  <c r="BI57" i="55" s="1"/>
  <c r="BH57" i="55"/>
  <c r="AF58" i="55"/>
  <c r="AG58" i="55"/>
  <c r="AH58" i="55"/>
  <c r="BJ58" i="55" s="1" a="1"/>
  <c r="BJ58" i="55" s="1"/>
  <c r="AI58" i="55"/>
  <c r="AJ58" i="55"/>
  <c r="AK58" i="55"/>
  <c r="AL58" i="55"/>
  <c r="AM58" i="55"/>
  <c r="AN58" i="55"/>
  <c r="AO58" i="55"/>
  <c r="AP58" i="55"/>
  <c r="AQ58" i="55"/>
  <c r="AR58" i="55"/>
  <c r="AS58" i="55"/>
  <c r="AT58" i="55"/>
  <c r="AU58" i="55"/>
  <c r="AV58" i="55"/>
  <c r="AW58" i="55"/>
  <c r="AY58" i="55" s="1"/>
  <c r="AX58" i="55"/>
  <c r="AZ58" i="55"/>
  <c r="BA58" i="55"/>
  <c r="BB58" i="55"/>
  <c r="BD58" i="55" s="1"/>
  <c r="BC58" i="55"/>
  <c r="BE58" i="55"/>
  <c r="BG58" i="55"/>
  <c r="BH58" i="55"/>
  <c r="BI58" i="55"/>
  <c r="BK58" i="55" a="1"/>
  <c r="BK58" i="55" s="1"/>
  <c r="BQ58" i="55"/>
  <c r="AF59" i="55"/>
  <c r="AG59" i="55"/>
  <c r="AH59" i="55"/>
  <c r="AI59" i="55"/>
  <c r="BG59" i="55" s="1"/>
  <c r="BI59" i="55" s="1"/>
  <c r="AJ59" i="55"/>
  <c r="AK59" i="55"/>
  <c r="AL59" i="55"/>
  <c r="AM59" i="55"/>
  <c r="AN59" i="55"/>
  <c r="AO59" i="55"/>
  <c r="AP59" i="55"/>
  <c r="AQ59" i="55"/>
  <c r="AR59" i="55"/>
  <c r="AS59" i="55"/>
  <c r="AT59" i="55"/>
  <c r="AU59" i="55"/>
  <c r="AV59" i="55"/>
  <c r="AW59" i="55"/>
  <c r="AX59" i="55"/>
  <c r="AY59" i="55"/>
  <c r="AZ59" i="55"/>
  <c r="BA59" i="55"/>
  <c r="BB59" i="55"/>
  <c r="BD59" i="55" s="1"/>
  <c r="BC59" i="55"/>
  <c r="BE59" i="55"/>
  <c r="BH59" i="55"/>
  <c r="BJ59" i="55" a="1"/>
  <c r="BJ59" i="55" s="1"/>
  <c r="BK59" i="55" a="1"/>
  <c r="BK59" i="55" s="1"/>
  <c r="BQ59" i="55" s="1"/>
  <c r="AF60" i="55"/>
  <c r="AG60" i="55"/>
  <c r="AH60" i="55"/>
  <c r="AI60" i="55"/>
  <c r="AJ60" i="55"/>
  <c r="AK60" i="55"/>
  <c r="AL60" i="55"/>
  <c r="AM60" i="55"/>
  <c r="AN60" i="55"/>
  <c r="AO60" i="55"/>
  <c r="AP60" i="55"/>
  <c r="AQ60" i="55"/>
  <c r="AR60" i="55"/>
  <c r="AS60" i="55"/>
  <c r="AT60" i="55"/>
  <c r="AU60" i="55"/>
  <c r="AV60" i="55"/>
  <c r="AW60" i="55"/>
  <c r="AX60" i="55"/>
  <c r="AY60" i="55" s="1"/>
  <c r="AZ60" i="55"/>
  <c r="BA60" i="55"/>
  <c r="BB60" i="55"/>
  <c r="BC60" i="55"/>
  <c r="BE60" i="55"/>
  <c r="BG60" i="55"/>
  <c r="BH60" i="55"/>
  <c r="BI60" i="55"/>
  <c r="BJ60" i="55" a="1"/>
  <c r="BJ60" i="55" s="1"/>
  <c r="BK60" i="55" a="1"/>
  <c r="BK60" i="55" s="1"/>
  <c r="BQ60" i="55" s="1"/>
  <c r="AF61" i="55"/>
  <c r="AG61" i="55"/>
  <c r="AH61" i="55"/>
  <c r="AI61" i="55"/>
  <c r="BG61" i="55" s="1"/>
  <c r="AJ61" i="55"/>
  <c r="AK61" i="55"/>
  <c r="AL61" i="55"/>
  <c r="AM61" i="55"/>
  <c r="AN61" i="55"/>
  <c r="AO61" i="55"/>
  <c r="AP61" i="55"/>
  <c r="AQ61" i="55"/>
  <c r="AR61" i="55"/>
  <c r="AT61" i="55" s="1"/>
  <c r="AS61" i="55"/>
  <c r="AU61" i="55"/>
  <c r="AV61" i="55"/>
  <c r="AW61" i="55"/>
  <c r="AX61" i="55"/>
  <c r="AY61" i="55"/>
  <c r="AZ61" i="55"/>
  <c r="BA61" i="55"/>
  <c r="BB61" i="55"/>
  <c r="BD61" i="55" s="1"/>
  <c r="BC61" i="55"/>
  <c r="BE61" i="55"/>
  <c r="BH61" i="55"/>
  <c r="BI61" i="55"/>
  <c r="BJ61" i="55" a="1"/>
  <c r="BJ61" i="55"/>
  <c r="BL61" i="55" s="1"/>
  <c r="BK61" i="55" a="1"/>
  <c r="BK61" i="55" s="1"/>
  <c r="BQ61" i="55" s="1"/>
  <c r="AF62" i="55"/>
  <c r="AG62" i="55"/>
  <c r="AH62" i="55"/>
  <c r="BK62" i="55" s="1" a="1"/>
  <c r="BK62" i="55" s="1"/>
  <c r="BQ62" i="55" s="1"/>
  <c r="AI62" i="55"/>
  <c r="BG62" i="55" s="1"/>
  <c r="BI62" i="55" s="1"/>
  <c r="AJ62" i="55"/>
  <c r="AK62" i="55"/>
  <c r="AL62" i="55"/>
  <c r="AM62" i="55"/>
  <c r="AN62" i="55"/>
  <c r="AO62" i="55"/>
  <c r="AP62" i="55"/>
  <c r="AQ62" i="55"/>
  <c r="AR62" i="55"/>
  <c r="AT62" i="55" s="1"/>
  <c r="AS62" i="55"/>
  <c r="AU62" i="55"/>
  <c r="AV62" i="55"/>
  <c r="AW62" i="55"/>
  <c r="AX62" i="55"/>
  <c r="AY62" i="55"/>
  <c r="AZ62" i="55"/>
  <c r="BA62" i="55"/>
  <c r="BB62" i="55"/>
  <c r="BC62" i="55"/>
  <c r="BD62" i="55"/>
  <c r="BE62" i="55"/>
  <c r="BJ62" i="55" a="1"/>
  <c r="BJ62" i="55" s="1"/>
  <c r="AF63" i="55"/>
  <c r="AG63" i="55"/>
  <c r="AH63" i="55"/>
  <c r="BJ63" i="55" s="1" a="1"/>
  <c r="BJ63" i="55" s="1"/>
  <c r="AI63" i="55"/>
  <c r="BG63" i="55" s="1"/>
  <c r="AJ63" i="55"/>
  <c r="AK63" i="55"/>
  <c r="AL63" i="55"/>
  <c r="AM63" i="55"/>
  <c r="AN63" i="55"/>
  <c r="AO63" i="55"/>
  <c r="AP63" i="55"/>
  <c r="AQ63" i="55"/>
  <c r="AR63" i="55"/>
  <c r="AT63" i="55" s="1"/>
  <c r="AS63" i="55"/>
  <c r="AU63" i="55"/>
  <c r="AV63" i="55"/>
  <c r="AW63" i="55"/>
  <c r="AX63" i="55"/>
  <c r="AY63" i="55" s="1"/>
  <c r="AZ63" i="55"/>
  <c r="BA63" i="55"/>
  <c r="BB63" i="55"/>
  <c r="BC63" i="55"/>
  <c r="BD63" i="55" s="1"/>
  <c r="BE63" i="55"/>
  <c r="BH63" i="55"/>
  <c r="BI63" i="55"/>
  <c r="BK63" i="55" a="1"/>
  <c r="BK63" i="55" s="1"/>
  <c r="BQ63" i="55" s="1"/>
  <c r="AF64" i="55"/>
  <c r="AG64" i="55"/>
  <c r="AH64" i="55"/>
  <c r="BJ64" i="55" s="1" a="1"/>
  <c r="BJ64" i="55" s="1"/>
  <c r="AI64" i="55"/>
  <c r="AJ64" i="55"/>
  <c r="AK64" i="55"/>
  <c r="AL64" i="55"/>
  <c r="AM64" i="55"/>
  <c r="AN64" i="55"/>
  <c r="AO64" i="55"/>
  <c r="AP64" i="55"/>
  <c r="AQ64" i="55"/>
  <c r="AR64" i="55"/>
  <c r="AS64" i="55"/>
  <c r="AT64" i="55"/>
  <c r="AU64" i="55"/>
  <c r="AV64" i="55"/>
  <c r="AW64" i="55"/>
  <c r="AX64" i="55"/>
  <c r="AZ64" i="55"/>
  <c r="BA64" i="55"/>
  <c r="BB64" i="55"/>
  <c r="BC64" i="55"/>
  <c r="BD64" i="55"/>
  <c r="BE64" i="55"/>
  <c r="BG64" i="55"/>
  <c r="BH64" i="55"/>
  <c r="BI64" i="55"/>
  <c r="AF65" i="55"/>
  <c r="AG65" i="55"/>
  <c r="AH65" i="55"/>
  <c r="AI65" i="55"/>
  <c r="BG65" i="55" s="1"/>
  <c r="BI65" i="55" s="1"/>
  <c r="AJ65" i="55"/>
  <c r="AK65" i="55"/>
  <c r="AL65" i="55"/>
  <c r="AM65" i="55"/>
  <c r="AN65" i="55"/>
  <c r="AO65" i="55"/>
  <c r="AP65" i="55"/>
  <c r="AQ65" i="55"/>
  <c r="AR65" i="55"/>
  <c r="AS65" i="55"/>
  <c r="AT65" i="55"/>
  <c r="AU65" i="55"/>
  <c r="AV65" i="55"/>
  <c r="AW65" i="55"/>
  <c r="AX65" i="55"/>
  <c r="AY65" i="55"/>
  <c r="AZ65" i="55"/>
  <c r="BA65" i="55"/>
  <c r="BB65" i="55"/>
  <c r="BC65" i="55"/>
  <c r="BE65" i="55"/>
  <c r="AF66" i="55"/>
  <c r="AG66" i="55"/>
  <c r="AH66" i="55"/>
  <c r="AI66" i="55"/>
  <c r="AJ66" i="55"/>
  <c r="AK66" i="55"/>
  <c r="AL66" i="55"/>
  <c r="AM66" i="55"/>
  <c r="AN66" i="55"/>
  <c r="AO66" i="55"/>
  <c r="AP66" i="55"/>
  <c r="AQ66" i="55"/>
  <c r="AR66" i="55"/>
  <c r="AT66" i="55" s="1"/>
  <c r="AS66" i="55"/>
  <c r="AU66" i="55"/>
  <c r="AV66" i="55"/>
  <c r="AW66" i="55"/>
  <c r="AX66" i="55"/>
  <c r="AZ66" i="55"/>
  <c r="BA66" i="55"/>
  <c r="BB66" i="55"/>
  <c r="BC66" i="55"/>
  <c r="BD66" i="55"/>
  <c r="BE66" i="55"/>
  <c r="BG66" i="55"/>
  <c r="BH66" i="55"/>
  <c r="BI66" i="55"/>
  <c r="BJ66" i="55" a="1"/>
  <c r="BJ66" i="55" s="1"/>
  <c r="BP66" i="55" s="1"/>
  <c r="BK66" i="55" a="1"/>
  <c r="BK66" i="55" s="1"/>
  <c r="BQ66" i="55" s="1"/>
  <c r="AF67" i="55"/>
  <c r="AG67" i="55"/>
  <c r="AH67" i="55"/>
  <c r="AI67" i="55"/>
  <c r="AJ67" i="55"/>
  <c r="AK67" i="55"/>
  <c r="AL67" i="55"/>
  <c r="AM67" i="55"/>
  <c r="AN67" i="55"/>
  <c r="AO67" i="55"/>
  <c r="AP67" i="55"/>
  <c r="AQ67" i="55"/>
  <c r="AR67" i="55"/>
  <c r="AS67" i="55"/>
  <c r="AU67" i="55"/>
  <c r="AV67" i="55"/>
  <c r="AW67" i="55"/>
  <c r="AX67" i="55"/>
  <c r="AY67" i="55"/>
  <c r="AZ67" i="55"/>
  <c r="BA67" i="55"/>
  <c r="BB67" i="55"/>
  <c r="BC67" i="55"/>
  <c r="BD67" i="55"/>
  <c r="BE67" i="55"/>
  <c r="BJ67" i="55" a="1"/>
  <c r="BJ67" i="55" s="1"/>
  <c r="BL67" i="55" s="1"/>
  <c r="BK67" i="55" a="1"/>
  <c r="BK67" i="55"/>
  <c r="BQ67" i="55" s="1"/>
  <c r="AF68" i="55"/>
  <c r="AG68" i="55"/>
  <c r="AH68" i="55"/>
  <c r="BK68" i="55" s="1" a="1"/>
  <c r="BK68" i="55" s="1"/>
  <c r="BQ68" i="55" s="1"/>
  <c r="AI68" i="55"/>
  <c r="AJ68" i="55"/>
  <c r="AK68" i="55"/>
  <c r="AL68" i="55"/>
  <c r="AM68" i="55"/>
  <c r="AN68" i="55"/>
  <c r="AO68" i="55"/>
  <c r="AP68" i="55"/>
  <c r="AQ68" i="55"/>
  <c r="AR68" i="55"/>
  <c r="AS68" i="55"/>
  <c r="AT68" i="55"/>
  <c r="AU68" i="55"/>
  <c r="AV68" i="55"/>
  <c r="AW68" i="55"/>
  <c r="AX68" i="55"/>
  <c r="AZ68" i="55"/>
  <c r="BA68" i="55"/>
  <c r="BB68" i="55"/>
  <c r="BD68" i="55" s="1"/>
  <c r="BC68" i="55"/>
  <c r="BE68" i="55"/>
  <c r="BG68" i="55"/>
  <c r="BI68" i="55" s="1"/>
  <c r="BH68" i="55"/>
  <c r="BJ68" i="55" a="1"/>
  <c r="BJ68" i="55" s="1"/>
  <c r="AF69" i="55"/>
  <c r="AG69" i="55"/>
  <c r="AH69" i="55"/>
  <c r="BK69" i="55" s="1" a="1"/>
  <c r="AI69" i="55"/>
  <c r="AJ69" i="55"/>
  <c r="AK69" i="55"/>
  <c r="AL69" i="55"/>
  <c r="AM69" i="55"/>
  <c r="AN69" i="55"/>
  <c r="AO69" i="55"/>
  <c r="AP69" i="55"/>
  <c r="AQ69" i="55"/>
  <c r="AR69" i="55"/>
  <c r="AT69" i="55" s="1"/>
  <c r="AS69" i="55"/>
  <c r="AU69" i="55"/>
  <c r="AV69" i="55"/>
  <c r="AW69" i="55"/>
  <c r="AX69" i="55"/>
  <c r="AY69" i="55"/>
  <c r="AZ69" i="55"/>
  <c r="BA69" i="55"/>
  <c r="BB69" i="55"/>
  <c r="BC69" i="55"/>
  <c r="BD69" i="55"/>
  <c r="BE69" i="55"/>
  <c r="BJ69" i="55" a="1"/>
  <c r="BJ69" i="55" s="1"/>
  <c r="BP69" i="55" s="1"/>
  <c r="BK69" i="55"/>
  <c r="BO69" i="55" s="1" a="1"/>
  <c r="BO69" i="55" s="1"/>
  <c r="BL69" i="55"/>
  <c r="AF70" i="55"/>
  <c r="AG70" i="55"/>
  <c r="AH70" i="55"/>
  <c r="BJ70" i="55" s="1" a="1"/>
  <c r="AI70" i="55"/>
  <c r="BG70" i="55" s="1"/>
  <c r="BI70" i="55" s="1"/>
  <c r="AJ70" i="55"/>
  <c r="AK70" i="55"/>
  <c r="AL70" i="55"/>
  <c r="AM70" i="55"/>
  <c r="AN70" i="55"/>
  <c r="AO70" i="55"/>
  <c r="AP70" i="55"/>
  <c r="AQ70" i="55"/>
  <c r="AR70" i="55"/>
  <c r="AT70" i="55" s="1"/>
  <c r="AS70" i="55"/>
  <c r="AU70" i="55"/>
  <c r="AV70" i="55"/>
  <c r="AW70" i="55"/>
  <c r="AY70" i="55" s="1"/>
  <c r="AX70" i="55"/>
  <c r="AZ70" i="55"/>
  <c r="BA70" i="55"/>
  <c r="BB70" i="55"/>
  <c r="BC70" i="55"/>
  <c r="BD70" i="55"/>
  <c r="BE70" i="55"/>
  <c r="BH70" i="55"/>
  <c r="BJ70" i="55"/>
  <c r="BL70" i="55" s="1"/>
  <c r="BK70" i="55" a="1"/>
  <c r="BK70" i="55" s="1"/>
  <c r="BQ70" i="55"/>
  <c r="AF71" i="55"/>
  <c r="AG71" i="55"/>
  <c r="AH71" i="55"/>
  <c r="BK71" i="55" s="1" a="1"/>
  <c r="BK71" i="55" s="1"/>
  <c r="AI71" i="55"/>
  <c r="AJ71" i="55"/>
  <c r="AK71" i="55"/>
  <c r="AL71" i="55"/>
  <c r="AM71" i="55"/>
  <c r="AN71" i="55"/>
  <c r="AO71" i="55"/>
  <c r="AP71" i="55"/>
  <c r="AQ71" i="55"/>
  <c r="AR71" i="55"/>
  <c r="AS71" i="55"/>
  <c r="AT71" i="55" s="1"/>
  <c r="AU71" i="55"/>
  <c r="AV71" i="55"/>
  <c r="AW71" i="55"/>
  <c r="AY71" i="55" s="1"/>
  <c r="AX71" i="55"/>
  <c r="AZ71" i="55"/>
  <c r="BA71" i="55"/>
  <c r="BB71" i="55"/>
  <c r="BD71" i="55" s="1"/>
  <c r="BC71" i="55"/>
  <c r="BE71" i="55"/>
  <c r="BG71" i="55"/>
  <c r="BI71" i="55" s="1"/>
  <c r="BH71" i="55"/>
  <c r="BJ71" i="55" a="1"/>
  <c r="BJ71" i="55"/>
  <c r="BL71" i="55" s="1"/>
  <c r="AF72" i="55"/>
  <c r="AG72" i="55"/>
  <c r="AH72" i="55"/>
  <c r="BJ72" i="55" s="1" a="1"/>
  <c r="BJ72" i="55" s="1"/>
  <c r="AI72" i="55"/>
  <c r="AJ72" i="55"/>
  <c r="AK72" i="55"/>
  <c r="AL72" i="55"/>
  <c r="AM72" i="55"/>
  <c r="AN72" i="55"/>
  <c r="AO72" i="55"/>
  <c r="AP72" i="55"/>
  <c r="AQ72" i="55"/>
  <c r="AR72" i="55"/>
  <c r="AS72" i="55"/>
  <c r="AT72" i="55"/>
  <c r="AU72" i="55"/>
  <c r="AV72" i="55"/>
  <c r="AW72" i="55"/>
  <c r="AX72" i="55"/>
  <c r="AZ72" i="55"/>
  <c r="BA72" i="55"/>
  <c r="BB72" i="55"/>
  <c r="BD72" i="55" s="1"/>
  <c r="BC72" i="55"/>
  <c r="BE72" i="55"/>
  <c r="BG72" i="55"/>
  <c r="BH72" i="55"/>
  <c r="BI72" i="55"/>
  <c r="AF73" i="55"/>
  <c r="AG73" i="55"/>
  <c r="AH73" i="55"/>
  <c r="AI73" i="55"/>
  <c r="AJ73" i="55"/>
  <c r="AK73" i="55"/>
  <c r="AL73" i="55"/>
  <c r="AM73" i="55"/>
  <c r="AN73" i="55"/>
  <c r="AO73" i="55"/>
  <c r="AP73" i="55"/>
  <c r="AQ73" i="55"/>
  <c r="AR73" i="55"/>
  <c r="AS73" i="55"/>
  <c r="AT73" i="55"/>
  <c r="AU73" i="55"/>
  <c r="AV73" i="55"/>
  <c r="AW73" i="55"/>
  <c r="AY73" i="55" s="1"/>
  <c r="AX73" i="55"/>
  <c r="AZ73" i="55"/>
  <c r="BA73" i="55"/>
  <c r="BB73" i="55"/>
  <c r="BD73" i="55" s="1"/>
  <c r="BC73" i="55"/>
  <c r="BE73" i="55"/>
  <c r="BJ73" i="55" a="1"/>
  <c r="BJ73" i="55" s="1"/>
  <c r="BK73" i="55" a="1"/>
  <c r="BK73" i="55" s="1"/>
  <c r="BQ73" i="55" s="1"/>
  <c r="BL73" i="55"/>
  <c r="BP73" i="55"/>
  <c r="BR73" i="55"/>
  <c r="AF74" i="55"/>
  <c r="AG74" i="55"/>
  <c r="AH74" i="55"/>
  <c r="AI74" i="55"/>
  <c r="AJ74" i="55"/>
  <c r="AK74" i="55"/>
  <c r="AL74" i="55"/>
  <c r="AM74" i="55"/>
  <c r="AN74" i="55"/>
  <c r="AO74" i="55"/>
  <c r="AP74" i="55"/>
  <c r="AQ74" i="55"/>
  <c r="AR74" i="55"/>
  <c r="AT74" i="55" s="1"/>
  <c r="AS74" i="55"/>
  <c r="AU74" i="55"/>
  <c r="AV74" i="55"/>
  <c r="AW74" i="55"/>
  <c r="AX74" i="55"/>
  <c r="AY74" i="55" s="1"/>
  <c r="AZ74" i="55"/>
  <c r="BA74" i="55"/>
  <c r="BB74" i="55"/>
  <c r="BC74" i="55"/>
  <c r="BD74" i="55"/>
  <c r="BE74" i="55"/>
  <c r="BG74" i="55"/>
  <c r="BI74" i="55" s="1"/>
  <c r="BH74" i="55"/>
  <c r="BJ74" i="55" a="1"/>
  <c r="BJ74" i="55" s="1"/>
  <c r="BL74" i="55" s="1"/>
  <c r="BK74" i="55" a="1"/>
  <c r="BK74" i="55" s="1"/>
  <c r="BQ74" i="55" s="1"/>
  <c r="AF75" i="55"/>
  <c r="AG75" i="55"/>
  <c r="AH75" i="55"/>
  <c r="BK75" i="55" s="1" a="1"/>
  <c r="BK75" i="55" s="1"/>
  <c r="AI75" i="55"/>
  <c r="AJ75" i="55"/>
  <c r="AK75" i="55"/>
  <c r="AL75" i="55"/>
  <c r="AM75" i="55"/>
  <c r="AN75" i="55"/>
  <c r="AO75" i="55"/>
  <c r="AP75" i="55"/>
  <c r="AQ75" i="55"/>
  <c r="AR75" i="55"/>
  <c r="AT75" i="55" s="1"/>
  <c r="AS75" i="55"/>
  <c r="AU75" i="55"/>
  <c r="AV75" i="55"/>
  <c r="AW75" i="55"/>
  <c r="AY75" i="55" s="1"/>
  <c r="AX75" i="55"/>
  <c r="AZ75" i="55"/>
  <c r="BA75" i="55"/>
  <c r="BB75" i="55"/>
  <c r="BC75" i="55"/>
  <c r="BE75" i="55"/>
  <c r="BG75" i="55"/>
  <c r="BI75" i="55" s="1"/>
  <c r="BH75" i="55"/>
  <c r="BJ75" i="55" a="1"/>
  <c r="BJ75" i="55" s="1"/>
  <c r="BQ75" i="55"/>
  <c r="AF76" i="55"/>
  <c r="AG76" i="55"/>
  <c r="AH76" i="55"/>
  <c r="AI76" i="55"/>
  <c r="BG76" i="55" s="1"/>
  <c r="BI76" i="55" s="1"/>
  <c r="AJ76" i="55"/>
  <c r="AK76" i="55"/>
  <c r="AL76" i="55"/>
  <c r="AM76" i="55"/>
  <c r="AN76" i="55"/>
  <c r="AO76" i="55"/>
  <c r="AP76" i="55"/>
  <c r="AQ76" i="55"/>
  <c r="AR76" i="55"/>
  <c r="AT76" i="55" s="1"/>
  <c r="AS76" i="55"/>
  <c r="AU76" i="55"/>
  <c r="AV76" i="55"/>
  <c r="AW76" i="55"/>
  <c r="AX76" i="55"/>
  <c r="AY76" i="55"/>
  <c r="AZ76" i="55"/>
  <c r="BA76" i="55"/>
  <c r="BB76" i="55"/>
  <c r="BD76" i="55" s="1"/>
  <c r="BC76" i="55"/>
  <c r="BE76" i="55"/>
  <c r="AF77" i="55"/>
  <c r="AG77" i="55"/>
  <c r="AH77" i="55"/>
  <c r="BJ77" i="55" s="1" a="1"/>
  <c r="BJ77" i="55" s="1"/>
  <c r="AI77" i="55"/>
  <c r="BG77" i="55" s="1"/>
  <c r="AJ77" i="55"/>
  <c r="AK77" i="55"/>
  <c r="AL77" i="55"/>
  <c r="AM77" i="55"/>
  <c r="AN77" i="55"/>
  <c r="AO77" i="55"/>
  <c r="AP77" i="55"/>
  <c r="AQ77" i="55"/>
  <c r="AR77" i="55"/>
  <c r="AT77" i="55" s="1"/>
  <c r="AS77" i="55"/>
  <c r="AU77" i="55"/>
  <c r="AV77" i="55"/>
  <c r="AW77" i="55"/>
  <c r="AY77" i="55" s="1"/>
  <c r="AX77" i="55"/>
  <c r="AZ77" i="55"/>
  <c r="BA77" i="55"/>
  <c r="BB77" i="55"/>
  <c r="BC77" i="55"/>
  <c r="BD77" i="55"/>
  <c r="BE77" i="55"/>
  <c r="BH77" i="55"/>
  <c r="BI77" i="55"/>
  <c r="BK77" i="55" a="1"/>
  <c r="BK77" i="55" s="1"/>
  <c r="BQ77" i="55" s="1"/>
  <c r="AF78" i="55"/>
  <c r="AG78" i="55"/>
  <c r="AH78" i="55"/>
  <c r="BJ78" i="55" s="1" a="1"/>
  <c r="BJ78" i="55" s="1"/>
  <c r="AI78" i="55"/>
  <c r="AJ78" i="55"/>
  <c r="AK78" i="55"/>
  <c r="AL78" i="55"/>
  <c r="AM78" i="55"/>
  <c r="AN78" i="55"/>
  <c r="AO78" i="55"/>
  <c r="AP78" i="55"/>
  <c r="AQ78" i="55"/>
  <c r="AR78" i="55"/>
  <c r="AT78" i="55" s="1"/>
  <c r="AS78" i="55"/>
  <c r="AU78" i="55"/>
  <c r="AV78" i="55"/>
  <c r="AW78" i="55"/>
  <c r="AY78" i="55" s="1"/>
  <c r="AX78" i="55"/>
  <c r="AZ78" i="55"/>
  <c r="BA78" i="55"/>
  <c r="BB78" i="55"/>
  <c r="BD78" i="55" s="1"/>
  <c r="BC78" i="55"/>
  <c r="BE78" i="55"/>
  <c r="BG78" i="55"/>
  <c r="BH78" i="55"/>
  <c r="BI78" i="55"/>
  <c r="AF79" i="55"/>
  <c r="AG79" i="55"/>
  <c r="AH79" i="55"/>
  <c r="BJ79" i="55" s="1" a="1"/>
  <c r="BJ79" i="55" s="1"/>
  <c r="AI79" i="55"/>
  <c r="AJ79" i="55"/>
  <c r="AK79" i="55"/>
  <c r="AL79" i="55"/>
  <c r="AM79" i="55"/>
  <c r="AN79" i="55"/>
  <c r="AO79" i="55"/>
  <c r="AP79" i="55"/>
  <c r="AQ79" i="55"/>
  <c r="AR79" i="55"/>
  <c r="AS79" i="55"/>
  <c r="AT79" i="55"/>
  <c r="AU79" i="55"/>
  <c r="AV79" i="55"/>
  <c r="AW79" i="55"/>
  <c r="AX79" i="55"/>
  <c r="AY79" i="55" s="1"/>
  <c r="AZ79" i="55"/>
  <c r="BA79" i="55"/>
  <c r="BB79" i="55"/>
  <c r="BD79" i="55" s="1"/>
  <c r="BC79" i="55"/>
  <c r="BE79" i="55"/>
  <c r="BG79" i="55"/>
  <c r="BI79" i="55" s="1"/>
  <c r="BH79" i="55"/>
  <c r="AF80" i="55"/>
  <c r="AG80" i="55"/>
  <c r="AH80" i="55"/>
  <c r="AI80" i="55"/>
  <c r="AJ80" i="55"/>
  <c r="AK80" i="55"/>
  <c r="AL80" i="55"/>
  <c r="AM80" i="55"/>
  <c r="AN80" i="55"/>
  <c r="AO80" i="55"/>
  <c r="AP80" i="55"/>
  <c r="AQ80" i="55"/>
  <c r="AR80" i="55"/>
  <c r="AS80" i="55"/>
  <c r="AT80" i="55"/>
  <c r="AU80" i="55"/>
  <c r="AV80" i="55"/>
  <c r="AW80" i="55"/>
  <c r="AY80" i="55" s="1"/>
  <c r="AX80" i="55"/>
  <c r="AZ80" i="55"/>
  <c r="BA80" i="55"/>
  <c r="BB80" i="55"/>
  <c r="BC80" i="55"/>
  <c r="BD80" i="55" s="1"/>
  <c r="BE80" i="55"/>
  <c r="BG80" i="55"/>
  <c r="BH80" i="55"/>
  <c r="BI80" i="55"/>
  <c r="BN80" i="55" s="1" a="1"/>
  <c r="BN80" i="55" s="1"/>
  <c r="BJ80" i="55" a="1"/>
  <c r="BJ80" i="55" s="1"/>
  <c r="BK80" i="55" a="1"/>
  <c r="BK80" i="55"/>
  <c r="BQ80" i="55" s="1"/>
  <c r="BL80" i="55"/>
  <c r="BP80" i="55"/>
  <c r="BR80" i="55"/>
  <c r="AF81" i="55"/>
  <c r="AG81" i="55"/>
  <c r="AH81" i="55"/>
  <c r="AI81" i="55"/>
  <c r="BG81" i="55" s="1"/>
  <c r="AJ81" i="55"/>
  <c r="AK81" i="55"/>
  <c r="AL81" i="55"/>
  <c r="AM81" i="55"/>
  <c r="AN81" i="55"/>
  <c r="AO81" i="55"/>
  <c r="AP81" i="55"/>
  <c r="AQ81" i="55"/>
  <c r="AR81" i="55"/>
  <c r="AT81" i="55" s="1"/>
  <c r="AS81" i="55"/>
  <c r="AU81" i="55"/>
  <c r="AV81" i="55"/>
  <c r="AW81" i="55"/>
  <c r="AY81" i="55" s="1"/>
  <c r="AX81" i="55"/>
  <c r="AZ81" i="55"/>
  <c r="BA81" i="55"/>
  <c r="BB81" i="55"/>
  <c r="BC81" i="55"/>
  <c r="BD81" i="55"/>
  <c r="BE81" i="55"/>
  <c r="BH81" i="55"/>
  <c r="BI81" i="55"/>
  <c r="BJ81" i="55" a="1"/>
  <c r="BJ81" i="55" s="1"/>
  <c r="BK81" i="55" a="1"/>
  <c r="BK81" i="55"/>
  <c r="BQ81" i="55"/>
  <c r="AF82" i="55"/>
  <c r="AG82" i="55"/>
  <c r="AH82" i="55"/>
  <c r="BK82" i="55" s="1" a="1"/>
  <c r="AI82" i="55"/>
  <c r="BG82" i="55" s="1"/>
  <c r="BI82" i="55" s="1"/>
  <c r="AJ82" i="55"/>
  <c r="AK82" i="55"/>
  <c r="AL82" i="55"/>
  <c r="AM82" i="55"/>
  <c r="AN82" i="55"/>
  <c r="AO82" i="55"/>
  <c r="AP82" i="55"/>
  <c r="AQ82" i="55"/>
  <c r="AR82" i="55"/>
  <c r="AS82" i="55"/>
  <c r="AT82" i="55"/>
  <c r="AU82" i="55"/>
  <c r="AV82" i="55"/>
  <c r="AW82" i="55"/>
  <c r="AX82" i="55"/>
  <c r="AY82" i="55"/>
  <c r="AZ82" i="55"/>
  <c r="BA82" i="55"/>
  <c r="BB82" i="55"/>
  <c r="BD82" i="55" s="1"/>
  <c r="BC82" i="55"/>
  <c r="BE82" i="55"/>
  <c r="BH82" i="55"/>
  <c r="BJ82" i="55" a="1"/>
  <c r="BJ82" i="55" s="1"/>
  <c r="BK82" i="55"/>
  <c r="BQ82" i="55"/>
  <c r="AF83" i="55"/>
  <c r="AG83" i="55"/>
  <c r="AH83" i="55"/>
  <c r="BJ83" i="55" s="1" a="1"/>
  <c r="BJ83" i="55" s="1"/>
  <c r="AI83" i="55"/>
  <c r="BG83" i="55" s="1"/>
  <c r="BI83" i="55" s="1"/>
  <c r="AJ83" i="55"/>
  <c r="AK83" i="55"/>
  <c r="AL83" i="55"/>
  <c r="AM83" i="55"/>
  <c r="AN83" i="55"/>
  <c r="AO83" i="55"/>
  <c r="AP83" i="55"/>
  <c r="AQ83" i="55"/>
  <c r="AR83" i="55"/>
  <c r="AS83" i="55"/>
  <c r="AT83" i="55" s="1"/>
  <c r="AU83" i="55"/>
  <c r="AV83" i="55"/>
  <c r="AW83" i="55"/>
  <c r="AX83" i="55"/>
  <c r="AY83" i="55"/>
  <c r="AZ83" i="55"/>
  <c r="BA83" i="55"/>
  <c r="BB83" i="55"/>
  <c r="BD83" i="55" s="1"/>
  <c r="BC83" i="55"/>
  <c r="BE83" i="55"/>
  <c r="BK83" i="55" a="1"/>
  <c r="BK83" i="55" s="1"/>
  <c r="BQ83" i="55" s="1"/>
  <c r="AF84" i="55"/>
  <c r="AG84" i="55"/>
  <c r="AH84" i="55"/>
  <c r="BK84" i="55" s="1" a="1"/>
  <c r="AI84" i="55"/>
  <c r="AJ84" i="55"/>
  <c r="AK84" i="55"/>
  <c r="AL84" i="55"/>
  <c r="AM84" i="55"/>
  <c r="AN84" i="55"/>
  <c r="AO84" i="55"/>
  <c r="AP84" i="55"/>
  <c r="AQ84" i="55"/>
  <c r="AR84" i="55"/>
  <c r="AT84" i="55" s="1"/>
  <c r="AS84" i="55"/>
  <c r="AU84" i="55"/>
  <c r="AV84" i="55"/>
  <c r="AW84" i="55"/>
  <c r="AX84" i="55"/>
  <c r="AY84" i="55"/>
  <c r="AZ84" i="55"/>
  <c r="BA84" i="55"/>
  <c r="BB84" i="55"/>
  <c r="BC84" i="55"/>
  <c r="BD84" i="55"/>
  <c r="BE84" i="55"/>
  <c r="BG84" i="55"/>
  <c r="BI84" i="55" s="1"/>
  <c r="BH84" i="55"/>
  <c r="BJ84" i="55" a="1"/>
  <c r="BJ84" i="55" s="1"/>
  <c r="BP84" i="55" s="1"/>
  <c r="BK84" i="55"/>
  <c r="BQ84" i="55" s="1"/>
  <c r="AF85" i="55"/>
  <c r="AG85" i="55"/>
  <c r="AH85" i="55"/>
  <c r="AI85" i="55"/>
  <c r="BH85" i="55" s="1"/>
  <c r="AJ85" i="55"/>
  <c r="AK85" i="55"/>
  <c r="AL85" i="55"/>
  <c r="AM85" i="55"/>
  <c r="AN85" i="55"/>
  <c r="AO85" i="55"/>
  <c r="AP85" i="55"/>
  <c r="AQ85" i="55"/>
  <c r="AR85" i="55"/>
  <c r="AS85" i="55"/>
  <c r="AU85" i="55"/>
  <c r="AV85" i="55"/>
  <c r="AW85" i="55"/>
  <c r="AX85" i="55"/>
  <c r="AZ85" i="55"/>
  <c r="BA85" i="55"/>
  <c r="BB85" i="55"/>
  <c r="BC85" i="55"/>
  <c r="BD85" i="55" s="1"/>
  <c r="BE85" i="55"/>
  <c r="BG85" i="55"/>
  <c r="BI85" i="55" s="1"/>
  <c r="BJ85" i="55" a="1"/>
  <c r="BJ85" i="55" s="1"/>
  <c r="BK85" i="55" a="1"/>
  <c r="BK85" i="55" s="1"/>
  <c r="BQ85" i="55" s="1"/>
  <c r="AF86" i="55"/>
  <c r="AG86" i="55"/>
  <c r="AH86" i="55"/>
  <c r="BJ86" i="55" s="1" a="1"/>
  <c r="AI86" i="55"/>
  <c r="BG86" i="55" s="1"/>
  <c r="BI86" i="55" s="1"/>
  <c r="AJ86" i="55"/>
  <c r="AK86" i="55"/>
  <c r="AL86" i="55"/>
  <c r="AM86" i="55"/>
  <c r="AN86" i="55"/>
  <c r="AO86" i="55"/>
  <c r="AP86" i="55"/>
  <c r="AQ86" i="55"/>
  <c r="AR86" i="55"/>
  <c r="AS86" i="55"/>
  <c r="AT86" i="55"/>
  <c r="AU86" i="55"/>
  <c r="AV86" i="55"/>
  <c r="AW86" i="55"/>
  <c r="AX86" i="55"/>
  <c r="AY86" i="55"/>
  <c r="AZ86" i="55"/>
  <c r="BA86" i="55"/>
  <c r="BB86" i="55"/>
  <c r="BC86" i="55"/>
  <c r="BD86" i="55"/>
  <c r="BE86" i="55"/>
  <c r="BH86" i="55"/>
  <c r="BJ86" i="55"/>
  <c r="BP86" i="55" s="1"/>
  <c r="BK86" i="55" a="1"/>
  <c r="BK86" i="55"/>
  <c r="BQ86" i="55" s="1"/>
  <c r="AF87" i="55"/>
  <c r="AG87" i="55"/>
  <c r="AH87" i="55"/>
  <c r="AI87" i="55"/>
  <c r="BG87" i="55" s="1"/>
  <c r="BI87" i="55" s="1"/>
  <c r="AJ87" i="55"/>
  <c r="AK87" i="55"/>
  <c r="AL87" i="55"/>
  <c r="AM87" i="55"/>
  <c r="AN87" i="55"/>
  <c r="AO87" i="55"/>
  <c r="AP87" i="55"/>
  <c r="AQ87" i="55"/>
  <c r="AR87" i="55"/>
  <c r="AS87" i="55"/>
  <c r="AT87" i="55"/>
  <c r="AU87" i="55"/>
  <c r="AV87" i="55"/>
  <c r="AW87" i="55"/>
  <c r="AY87" i="55" s="1"/>
  <c r="AX87" i="55"/>
  <c r="AZ87" i="55"/>
  <c r="BA87" i="55"/>
  <c r="BB87" i="55"/>
  <c r="BC87" i="55"/>
  <c r="BD87" i="55"/>
  <c r="BE87" i="55"/>
  <c r="BH87" i="55"/>
  <c r="BJ87" i="55" a="1"/>
  <c r="BJ87" i="55" s="1"/>
  <c r="BP87" i="55" s="1"/>
  <c r="BK87" i="55" a="1"/>
  <c r="BK87" i="55" s="1"/>
  <c r="BQ87" i="55" s="1"/>
  <c r="AF88" i="55"/>
  <c r="AG88" i="55"/>
  <c r="AH88" i="55"/>
  <c r="BK88" i="55" s="1" a="1"/>
  <c r="BK88" i="55" s="1"/>
  <c r="BQ88" i="55" s="1"/>
  <c r="AI88" i="55"/>
  <c r="AJ88" i="55"/>
  <c r="AK88" i="55"/>
  <c r="AL88" i="55"/>
  <c r="AM88" i="55"/>
  <c r="AN88" i="55"/>
  <c r="AO88" i="55"/>
  <c r="AP88" i="55"/>
  <c r="AQ88" i="55"/>
  <c r="AR88" i="55"/>
  <c r="AS88" i="55"/>
  <c r="AU88" i="55"/>
  <c r="AV88" i="55"/>
  <c r="AW88" i="55"/>
  <c r="AX88" i="55"/>
  <c r="AZ88" i="55"/>
  <c r="BA88" i="55"/>
  <c r="BB88" i="55"/>
  <c r="BD88" i="55" s="1"/>
  <c r="BC88" i="55"/>
  <c r="BE88" i="55"/>
  <c r="BG88" i="55"/>
  <c r="BI88" i="55" s="1"/>
  <c r="BH88" i="55"/>
  <c r="BJ88" i="55" a="1"/>
  <c r="BJ88" i="55" s="1"/>
  <c r="AF89" i="55"/>
  <c r="AG89" i="55"/>
  <c r="AH89" i="55"/>
  <c r="BK89" i="55" s="1" a="1"/>
  <c r="BK89" i="55" s="1"/>
  <c r="BQ89" i="55" s="1"/>
  <c r="AI89" i="55"/>
  <c r="BG89" i="55" s="1"/>
  <c r="BI89" i="55" s="1"/>
  <c r="AJ89" i="55"/>
  <c r="AK89" i="55"/>
  <c r="AL89" i="55"/>
  <c r="AM89" i="55"/>
  <c r="AN89" i="55"/>
  <c r="AO89" i="55"/>
  <c r="AP89" i="55"/>
  <c r="AQ89" i="55"/>
  <c r="AR89" i="55"/>
  <c r="AS89" i="55"/>
  <c r="AT89" i="55" s="1"/>
  <c r="AU89" i="55"/>
  <c r="AV89" i="55"/>
  <c r="AW89" i="55"/>
  <c r="AX89" i="55"/>
  <c r="AY89" i="55"/>
  <c r="AZ89" i="55"/>
  <c r="BA89" i="55"/>
  <c r="BB89" i="55"/>
  <c r="BC89" i="55"/>
  <c r="BD89" i="55"/>
  <c r="BE89" i="55"/>
  <c r="BH89" i="55"/>
  <c r="AF90" i="55"/>
  <c r="AG90" i="55"/>
  <c r="AH90" i="55"/>
  <c r="BJ90" i="55" s="1" a="1"/>
  <c r="BJ90" i="55" s="1"/>
  <c r="AI90" i="55"/>
  <c r="AJ90" i="55"/>
  <c r="AK90" i="55"/>
  <c r="AL90" i="55"/>
  <c r="AM90" i="55"/>
  <c r="AN90" i="55"/>
  <c r="AO90" i="55"/>
  <c r="AP90" i="55"/>
  <c r="AQ90" i="55"/>
  <c r="AR90" i="55"/>
  <c r="AS90" i="55"/>
  <c r="AU90" i="55"/>
  <c r="AV90" i="55"/>
  <c r="AW90" i="55"/>
  <c r="AY90" i="55" s="1"/>
  <c r="AX90" i="55"/>
  <c r="AZ90" i="55"/>
  <c r="BA90" i="55"/>
  <c r="BB90" i="55"/>
  <c r="BC90" i="55"/>
  <c r="BD90" i="55"/>
  <c r="BE90" i="55"/>
  <c r="BG90" i="55"/>
  <c r="BH90" i="55"/>
  <c r="BI90" i="55"/>
  <c r="AF91" i="55"/>
  <c r="AG91" i="55"/>
  <c r="AH91" i="55"/>
  <c r="BJ91" i="55" s="1" a="1"/>
  <c r="BJ91" i="55" s="1"/>
  <c r="AI91" i="55"/>
  <c r="BG91" i="55" s="1"/>
  <c r="AJ91" i="55"/>
  <c r="AK91" i="55"/>
  <c r="AL91" i="55"/>
  <c r="AM91" i="55"/>
  <c r="AN91" i="55"/>
  <c r="AO91" i="55"/>
  <c r="AP91" i="55"/>
  <c r="AQ91" i="55"/>
  <c r="AR91" i="55"/>
  <c r="AS91" i="55"/>
  <c r="AT91" i="55"/>
  <c r="AU91" i="55"/>
  <c r="AV91" i="55"/>
  <c r="AW91" i="55"/>
  <c r="AY91" i="55" s="1"/>
  <c r="AX91" i="55"/>
  <c r="AZ91" i="55"/>
  <c r="BA91" i="55"/>
  <c r="BB91" i="55"/>
  <c r="BD91" i="55" s="1"/>
  <c r="BC91" i="55"/>
  <c r="BE91" i="55"/>
  <c r="BH91" i="55"/>
  <c r="BI91" i="55"/>
  <c r="BK91" i="55" a="1"/>
  <c r="BK91" i="55"/>
  <c r="BQ91" i="55" s="1"/>
  <c r="AF92" i="55"/>
  <c r="AG92" i="55"/>
  <c r="AH92" i="55"/>
  <c r="BK92" i="55" s="1" a="1"/>
  <c r="BK92" i="55" s="1"/>
  <c r="BQ92" i="55" s="1"/>
  <c r="AI92" i="55"/>
  <c r="AJ92" i="55"/>
  <c r="AK92" i="55"/>
  <c r="AL92" i="55"/>
  <c r="AM92" i="55"/>
  <c r="AN92" i="55"/>
  <c r="AO92" i="55"/>
  <c r="AP92" i="55"/>
  <c r="AQ92" i="55"/>
  <c r="AR92" i="55"/>
  <c r="AS92" i="55"/>
  <c r="AT92" i="55" s="1"/>
  <c r="AU92" i="55"/>
  <c r="AV92" i="55"/>
  <c r="AW92" i="55"/>
  <c r="AX92" i="55"/>
  <c r="AY92" i="55" s="1"/>
  <c r="AZ92" i="55"/>
  <c r="BA92" i="55"/>
  <c r="BB92" i="55"/>
  <c r="BC92" i="55"/>
  <c r="BD92" i="55" s="1"/>
  <c r="BE92" i="55"/>
  <c r="BG92" i="55"/>
  <c r="BI92" i="55" s="1"/>
  <c r="BH92" i="55"/>
  <c r="AF93" i="55"/>
  <c r="AG93" i="55"/>
  <c r="AH93" i="55"/>
  <c r="BK93" i="55" s="1" a="1"/>
  <c r="BK93" i="55" s="1"/>
  <c r="BQ93" i="55" s="1"/>
  <c r="AI93" i="55"/>
  <c r="AJ93" i="55"/>
  <c r="AK93" i="55"/>
  <c r="AL93" i="55"/>
  <c r="AM93" i="55"/>
  <c r="AN93" i="55"/>
  <c r="AO93" i="55"/>
  <c r="AP93" i="55"/>
  <c r="AQ93" i="55"/>
  <c r="AR93" i="55"/>
  <c r="AT93" i="55" s="1"/>
  <c r="AS93" i="55"/>
  <c r="AU93" i="55"/>
  <c r="AV93" i="55"/>
  <c r="AW93" i="55"/>
  <c r="AY93" i="55" s="1"/>
  <c r="AX93" i="55"/>
  <c r="AZ93" i="55"/>
  <c r="BA93" i="55"/>
  <c r="BB93" i="55"/>
  <c r="BC93" i="55"/>
  <c r="BE93" i="55"/>
  <c r="BG93" i="55"/>
  <c r="BH93" i="55"/>
  <c r="BI93" i="55"/>
  <c r="BJ93" i="55" a="1"/>
  <c r="BJ93" i="55" s="1"/>
  <c r="AF94" i="55"/>
  <c r="AG94" i="55"/>
  <c r="AH94" i="55"/>
  <c r="BK94" i="55" s="1" a="1"/>
  <c r="BK94" i="55" s="1"/>
  <c r="BQ94" i="55" s="1"/>
  <c r="AI94" i="55"/>
  <c r="BG94" i="55" s="1"/>
  <c r="BI94" i="55" s="1"/>
  <c r="AJ94" i="55"/>
  <c r="AK94" i="55"/>
  <c r="AL94" i="55"/>
  <c r="AM94" i="55"/>
  <c r="AN94" i="55"/>
  <c r="AO94" i="55"/>
  <c r="AP94" i="55"/>
  <c r="AQ94" i="55"/>
  <c r="AR94" i="55"/>
  <c r="AS94" i="55"/>
  <c r="AT94" i="55" s="1"/>
  <c r="AU94" i="55"/>
  <c r="AV94" i="55"/>
  <c r="AW94" i="55"/>
  <c r="AX94" i="55"/>
  <c r="AY94" i="55"/>
  <c r="AZ94" i="55"/>
  <c r="BA94" i="55"/>
  <c r="BB94" i="55"/>
  <c r="BC94" i="55"/>
  <c r="BD94" i="55"/>
  <c r="BE94" i="55"/>
  <c r="BJ94" i="55" a="1"/>
  <c r="BJ94" i="55"/>
  <c r="BL94" i="55"/>
  <c r="BO94" i="55" s="1" a="1"/>
  <c r="BO94" i="55" s="1"/>
  <c r="BP94" i="55"/>
  <c r="AF95" i="55"/>
  <c r="AG95" i="55"/>
  <c r="AH95" i="55"/>
  <c r="BJ95" i="55" s="1" a="1"/>
  <c r="BJ95" i="55" s="1"/>
  <c r="AI95" i="55"/>
  <c r="BG95" i="55" s="1"/>
  <c r="BI95" i="55" s="1"/>
  <c r="AJ95" i="55"/>
  <c r="AK95" i="55"/>
  <c r="AL95" i="55"/>
  <c r="AM95" i="55"/>
  <c r="AN95" i="55"/>
  <c r="AO95" i="55"/>
  <c r="AP95" i="55"/>
  <c r="AQ95" i="55"/>
  <c r="AR95" i="55"/>
  <c r="AS95" i="55"/>
  <c r="AU95" i="55"/>
  <c r="AV95" i="55"/>
  <c r="AW95" i="55"/>
  <c r="AX95" i="55"/>
  <c r="AY95" i="55"/>
  <c r="AZ95" i="55"/>
  <c r="BA95" i="55"/>
  <c r="BB95" i="55"/>
  <c r="BC95" i="55"/>
  <c r="BD95" i="55" s="1"/>
  <c r="BE95" i="55"/>
  <c r="BH95" i="55"/>
  <c r="AF96" i="55"/>
  <c r="AG96" i="55"/>
  <c r="AH96" i="55"/>
  <c r="BJ96" i="55" s="1" a="1"/>
  <c r="AI96" i="55"/>
  <c r="BG96" i="55" s="1"/>
  <c r="BI96" i="55" s="1"/>
  <c r="AJ96" i="55"/>
  <c r="AK96" i="55"/>
  <c r="AL96" i="55"/>
  <c r="AM96" i="55"/>
  <c r="AN96" i="55"/>
  <c r="AO96" i="55"/>
  <c r="AP96" i="55"/>
  <c r="AQ96" i="55"/>
  <c r="AR96" i="55"/>
  <c r="AT96" i="55" s="1"/>
  <c r="AS96" i="55"/>
  <c r="AU96" i="55"/>
  <c r="AV96" i="55"/>
  <c r="AW96" i="55"/>
  <c r="AX96" i="55"/>
  <c r="AY96" i="55"/>
  <c r="AZ96" i="55"/>
  <c r="BA96" i="55"/>
  <c r="BB96" i="55"/>
  <c r="BC96" i="55"/>
  <c r="BD96" i="55"/>
  <c r="BE96" i="55"/>
  <c r="BH96" i="55"/>
  <c r="BJ96" i="55"/>
  <c r="BL96" i="55"/>
  <c r="BP96" i="55"/>
  <c r="AF97" i="55"/>
  <c r="AG97" i="55"/>
  <c r="AH97" i="55"/>
  <c r="AI97" i="55"/>
  <c r="BG97" i="55" s="1"/>
  <c r="BI97" i="55" s="1"/>
  <c r="AJ97" i="55"/>
  <c r="AK97" i="55"/>
  <c r="AL97" i="55"/>
  <c r="AM97" i="55"/>
  <c r="AN97" i="55"/>
  <c r="AO97" i="55"/>
  <c r="AP97" i="55"/>
  <c r="AQ97" i="55"/>
  <c r="AR97" i="55"/>
  <c r="AS97" i="55"/>
  <c r="AT97" i="55" s="1"/>
  <c r="AU97" i="55"/>
  <c r="AV97" i="55"/>
  <c r="AW97" i="55"/>
  <c r="AY97" i="55" s="1"/>
  <c r="AX97" i="55"/>
  <c r="AZ97" i="55"/>
  <c r="BA97" i="55"/>
  <c r="BB97" i="55"/>
  <c r="BD97" i="55" s="1"/>
  <c r="BC97" i="55"/>
  <c r="BE97" i="55"/>
  <c r="BH97" i="55"/>
  <c r="BJ97" i="55" a="1"/>
  <c r="BJ97" i="55"/>
  <c r="BP97" i="55" s="1"/>
  <c r="BK97" i="55" a="1"/>
  <c r="BK97" i="55" s="1"/>
  <c r="BQ97" i="55" s="1"/>
  <c r="AF98" i="55"/>
  <c r="AG98" i="55"/>
  <c r="AH98" i="55"/>
  <c r="BJ98" i="55" s="1" a="1"/>
  <c r="BJ98" i="55" s="1"/>
  <c r="AI98" i="55"/>
  <c r="AJ98" i="55"/>
  <c r="AK98" i="55"/>
  <c r="AL98" i="55"/>
  <c r="AM98" i="55"/>
  <c r="AN98" i="55"/>
  <c r="AO98" i="55"/>
  <c r="AP98" i="55"/>
  <c r="AQ98" i="55"/>
  <c r="AR98" i="55"/>
  <c r="AS98" i="55"/>
  <c r="AT98" i="55"/>
  <c r="AU98" i="55"/>
  <c r="AV98" i="55"/>
  <c r="AW98" i="55"/>
  <c r="AX98" i="55"/>
  <c r="AZ98" i="55"/>
  <c r="BA98" i="55"/>
  <c r="BB98" i="55"/>
  <c r="BC98" i="55"/>
  <c r="BD98" i="55" s="1"/>
  <c r="BE98" i="55"/>
  <c r="BG98" i="55"/>
  <c r="BI98" i="55" s="1"/>
  <c r="BH98" i="55"/>
  <c r="AF99" i="55"/>
  <c r="AG99" i="55"/>
  <c r="AH99" i="55"/>
  <c r="AI99" i="55"/>
  <c r="BG99" i="55" s="1"/>
  <c r="BI99" i="55" s="1"/>
  <c r="AJ99" i="55"/>
  <c r="AK99" i="55"/>
  <c r="AL99" i="55"/>
  <c r="AM99" i="55"/>
  <c r="AN99" i="55"/>
  <c r="AO99" i="55"/>
  <c r="AP99" i="55"/>
  <c r="AQ99" i="55"/>
  <c r="AR99" i="55"/>
  <c r="AS99" i="55"/>
  <c r="AT99" i="55"/>
  <c r="AU99" i="55"/>
  <c r="AV99" i="55"/>
  <c r="AW99" i="55"/>
  <c r="AX99" i="55"/>
  <c r="AY99" i="55"/>
  <c r="AZ99" i="55"/>
  <c r="BA99" i="55"/>
  <c r="BB99" i="55"/>
  <c r="BC99" i="55"/>
  <c r="BD99" i="55" s="1"/>
  <c r="BE99" i="55"/>
  <c r="BJ99" i="55" a="1"/>
  <c r="BJ99" i="55"/>
  <c r="BP99" i="55" s="1"/>
  <c r="BK99" i="55" a="1"/>
  <c r="BK99" i="55" s="1"/>
  <c r="BQ99" i="55" s="1"/>
  <c r="BL99" i="55"/>
  <c r="BO99" i="55" s="1" a="1"/>
  <c r="BO99" i="55" s="1"/>
  <c r="BR99" i="55"/>
  <c r="AF100" i="55"/>
  <c r="AG100" i="55"/>
  <c r="AH100" i="55"/>
  <c r="AI100" i="55"/>
  <c r="BG100" i="55" s="1"/>
  <c r="BI100" i="55" s="1"/>
  <c r="AJ100" i="55"/>
  <c r="AK100" i="55"/>
  <c r="AL100" i="55"/>
  <c r="AM100" i="55"/>
  <c r="AN100" i="55"/>
  <c r="AO100" i="55"/>
  <c r="AP100" i="55"/>
  <c r="AQ100" i="55"/>
  <c r="AR100" i="55"/>
  <c r="AT100" i="55" s="1"/>
  <c r="AS100" i="55"/>
  <c r="AU100" i="55"/>
  <c r="AV100" i="55"/>
  <c r="AW100" i="55"/>
  <c r="AX100" i="55"/>
  <c r="AY100" i="55"/>
  <c r="AZ100" i="55"/>
  <c r="BA100" i="55"/>
  <c r="BB100" i="55"/>
  <c r="BC100" i="55"/>
  <c r="BD100" i="55" s="1"/>
  <c r="BE100" i="55"/>
  <c r="BH100" i="55"/>
  <c r="BJ100" i="55" a="1"/>
  <c r="BJ100" i="55"/>
  <c r="BL100" i="55" s="1"/>
  <c r="BK100" i="55" a="1"/>
  <c r="BK100" i="55" s="1"/>
  <c r="BQ100" i="55" s="1"/>
  <c r="BR100" i="55"/>
  <c r="AF101" i="55"/>
  <c r="AG101" i="55"/>
  <c r="AH101" i="55"/>
  <c r="AI101" i="55"/>
  <c r="BH101" i="55" s="1"/>
  <c r="AJ101" i="55"/>
  <c r="AK101" i="55"/>
  <c r="AL101" i="55"/>
  <c r="AM101" i="55"/>
  <c r="AN101" i="55"/>
  <c r="AO101" i="55"/>
  <c r="AP101" i="55"/>
  <c r="AQ101" i="55"/>
  <c r="AR101" i="55"/>
  <c r="AT101" i="55" s="1"/>
  <c r="AS101" i="55"/>
  <c r="AU101" i="55"/>
  <c r="AV101" i="55"/>
  <c r="AW101" i="55"/>
  <c r="AY101" i="55" s="1"/>
  <c r="AX101" i="55"/>
  <c r="AZ101" i="55"/>
  <c r="BA101" i="55"/>
  <c r="BB101" i="55"/>
  <c r="BC101" i="55"/>
  <c r="BE101" i="55"/>
  <c r="BG101" i="55"/>
  <c r="BI101" i="55" s="1"/>
  <c r="BJ101" i="55" a="1"/>
  <c r="BJ101" i="55" s="1"/>
  <c r="BK101" i="55" a="1"/>
  <c r="BK101" i="55" s="1"/>
  <c r="BQ101" i="55"/>
  <c r="AF102" i="55"/>
  <c r="AG102" i="55"/>
  <c r="AH102" i="55"/>
  <c r="BK102" i="55" s="1" a="1"/>
  <c r="BK102" i="55" s="1"/>
  <c r="BQ102" i="55" s="1"/>
  <c r="AI102" i="55"/>
  <c r="AJ102" i="55"/>
  <c r="AK102" i="55"/>
  <c r="AL102" i="55"/>
  <c r="AM102" i="55"/>
  <c r="AN102" i="55"/>
  <c r="AO102" i="55"/>
  <c r="AP102" i="55"/>
  <c r="AQ102" i="55"/>
  <c r="AR102" i="55"/>
  <c r="AS102" i="55"/>
  <c r="AT102" i="55" s="1"/>
  <c r="AU102" i="55"/>
  <c r="AV102" i="55"/>
  <c r="AW102" i="55"/>
  <c r="AY102" i="55" s="1"/>
  <c r="AX102" i="55"/>
  <c r="AZ102" i="55"/>
  <c r="BA102" i="55"/>
  <c r="BB102" i="55"/>
  <c r="BC102" i="55"/>
  <c r="BD102" i="55"/>
  <c r="BE102" i="55"/>
  <c r="BG102" i="55"/>
  <c r="BI102" i="55" s="1"/>
  <c r="BH102" i="55"/>
  <c r="BJ102" i="55" a="1"/>
  <c r="BJ102" i="55" s="1"/>
  <c r="AF103" i="55"/>
  <c r="AG103" i="55"/>
  <c r="AH103" i="55"/>
  <c r="AI103" i="55"/>
  <c r="BG103" i="55" s="1"/>
  <c r="BI103" i="55" s="1"/>
  <c r="AJ103" i="55"/>
  <c r="AK103" i="55"/>
  <c r="AL103" i="55"/>
  <c r="AM103" i="55"/>
  <c r="AN103" i="55"/>
  <c r="AO103" i="55"/>
  <c r="AP103" i="55"/>
  <c r="AQ103" i="55"/>
  <c r="AR103" i="55"/>
  <c r="AT103" i="55" s="1"/>
  <c r="AS103" i="55"/>
  <c r="AU103" i="55"/>
  <c r="AV103" i="55"/>
  <c r="AW103" i="55"/>
  <c r="AY103" i="55" s="1"/>
  <c r="AX103" i="55"/>
  <c r="AZ103" i="55"/>
  <c r="BA103" i="55"/>
  <c r="BB103" i="55"/>
  <c r="BC103" i="55"/>
  <c r="BD103" i="55" s="1"/>
  <c r="BE103" i="55"/>
  <c r="BH103" i="55"/>
  <c r="BJ103" i="55" a="1"/>
  <c r="BJ103" i="55" s="1"/>
  <c r="BK103" i="55" a="1"/>
  <c r="BK103" i="55" s="1"/>
  <c r="BQ103" i="55" s="1"/>
  <c r="AF104" i="55"/>
  <c r="AG104" i="55"/>
  <c r="AH104" i="55"/>
  <c r="BJ104" i="55" s="1" a="1"/>
  <c r="BJ104" i="55" s="1"/>
  <c r="AI104" i="55"/>
  <c r="BG104" i="55" s="1"/>
  <c r="BI104" i="55" s="1"/>
  <c r="AJ104" i="55"/>
  <c r="AK104" i="55"/>
  <c r="AL104" i="55"/>
  <c r="AM104" i="55"/>
  <c r="AN104" i="55"/>
  <c r="AO104" i="55"/>
  <c r="AP104" i="55"/>
  <c r="AQ104" i="55"/>
  <c r="AR104" i="55"/>
  <c r="AS104" i="55"/>
  <c r="AT104" i="55"/>
  <c r="AU104" i="55"/>
  <c r="AV104" i="55"/>
  <c r="AW104" i="55"/>
  <c r="AX104" i="55"/>
  <c r="AY104" i="55"/>
  <c r="AZ104" i="55"/>
  <c r="BA104" i="55"/>
  <c r="BB104" i="55"/>
  <c r="BD104" i="55" s="1"/>
  <c r="BC104" i="55"/>
  <c r="BE104" i="55"/>
  <c r="BH104" i="55"/>
  <c r="BK104" i="55" a="1"/>
  <c r="BK104" i="55" s="1"/>
  <c r="BQ104" i="55" s="1"/>
  <c r="AF105" i="55"/>
  <c r="AG105" i="55"/>
  <c r="AH105" i="55"/>
  <c r="BJ105" i="55" s="1" a="1"/>
  <c r="BJ105" i="55" s="1"/>
  <c r="AI105" i="55"/>
  <c r="AJ105" i="55"/>
  <c r="AK105" i="55"/>
  <c r="AL105" i="55"/>
  <c r="AM105" i="55"/>
  <c r="AN105" i="55"/>
  <c r="AO105" i="55"/>
  <c r="AP105" i="55"/>
  <c r="AQ105" i="55"/>
  <c r="AR105" i="55"/>
  <c r="AS105" i="55"/>
  <c r="AT105" i="55" s="1"/>
  <c r="AU105" i="55"/>
  <c r="AV105" i="55"/>
  <c r="AW105" i="55"/>
  <c r="AX105" i="55"/>
  <c r="AY105" i="55" s="1"/>
  <c r="AZ105" i="55"/>
  <c r="BA105" i="55"/>
  <c r="BB105" i="55"/>
  <c r="BD105" i="55" s="1"/>
  <c r="BC105" i="55"/>
  <c r="BE105" i="55"/>
  <c r="BG105" i="55"/>
  <c r="BI105" i="55" s="1"/>
  <c r="BH105" i="55"/>
  <c r="AF106" i="55"/>
  <c r="AG106" i="55"/>
  <c r="AH106" i="55"/>
  <c r="BK106" i="55" s="1" a="1"/>
  <c r="BK106" i="55" s="1"/>
  <c r="BQ106" i="55" s="1"/>
  <c r="AI106" i="55"/>
  <c r="AJ106" i="55"/>
  <c r="AK106" i="55"/>
  <c r="AL106" i="55"/>
  <c r="AM106" i="55"/>
  <c r="AN106" i="55"/>
  <c r="AO106" i="55"/>
  <c r="AP106" i="55"/>
  <c r="AQ106" i="55"/>
  <c r="AR106" i="55"/>
  <c r="AT106" i="55" s="1"/>
  <c r="AS106" i="55"/>
  <c r="AU106" i="55"/>
  <c r="AV106" i="55"/>
  <c r="AW106" i="55"/>
  <c r="AY106" i="55" s="1"/>
  <c r="AX106" i="55"/>
  <c r="AZ106" i="55"/>
  <c r="BA106" i="55"/>
  <c r="BB106" i="55"/>
  <c r="BD106" i="55" s="1"/>
  <c r="BC106" i="55"/>
  <c r="BE106" i="55"/>
  <c r="BG106" i="55"/>
  <c r="BH106" i="55"/>
  <c r="BI106" i="55"/>
  <c r="BJ106" i="55" a="1"/>
  <c r="BJ106" i="55" s="1"/>
  <c r="AF107" i="55"/>
  <c r="AG107" i="55"/>
  <c r="AH107" i="55"/>
  <c r="AI107" i="55"/>
  <c r="BG107" i="55" s="1"/>
  <c r="BI107" i="55" s="1"/>
  <c r="AJ107" i="55"/>
  <c r="AK107" i="55"/>
  <c r="AL107" i="55"/>
  <c r="AM107" i="55"/>
  <c r="AN107" i="55"/>
  <c r="AO107" i="55"/>
  <c r="AP107" i="55"/>
  <c r="AQ107" i="55"/>
  <c r="AR107" i="55"/>
  <c r="AT107" i="55" s="1"/>
  <c r="AS107" i="55"/>
  <c r="AU107" i="55"/>
  <c r="AV107" i="55"/>
  <c r="AW107" i="55"/>
  <c r="AX107" i="55"/>
  <c r="AY107" i="55"/>
  <c r="AZ107" i="55"/>
  <c r="BA107" i="55"/>
  <c r="BB107" i="55"/>
  <c r="BC107" i="55"/>
  <c r="BD107" i="55"/>
  <c r="BE107" i="55"/>
  <c r="BH107" i="55"/>
  <c r="BJ107" i="55" a="1"/>
  <c r="BJ107" i="55" s="1"/>
  <c r="BK107" i="55" a="1"/>
  <c r="BK107" i="55"/>
  <c r="BQ107" i="55" s="1"/>
  <c r="AF108" i="55"/>
  <c r="AG108" i="55"/>
  <c r="AH108" i="55"/>
  <c r="BJ108" i="55" s="1" a="1"/>
  <c r="BJ108" i="55" s="1"/>
  <c r="AI108" i="55"/>
  <c r="AJ108" i="55"/>
  <c r="AK108" i="55"/>
  <c r="AL108" i="55"/>
  <c r="AM108" i="55"/>
  <c r="AN108" i="55"/>
  <c r="AO108" i="55"/>
  <c r="AP108" i="55"/>
  <c r="AQ108" i="55"/>
  <c r="AR108" i="55"/>
  <c r="AT108" i="55" s="1"/>
  <c r="AS108" i="55"/>
  <c r="AU108" i="55"/>
  <c r="AV108" i="55"/>
  <c r="AW108" i="55"/>
  <c r="AX108" i="55"/>
  <c r="AY108" i="55" s="1"/>
  <c r="AZ108" i="55"/>
  <c r="BA108" i="55"/>
  <c r="BB108" i="55"/>
  <c r="BC108" i="55"/>
  <c r="BD108" i="55" s="1"/>
  <c r="BE108" i="55"/>
  <c r="BG108" i="55"/>
  <c r="BI108" i="55" s="1"/>
  <c r="BH108" i="55"/>
  <c r="BK108" i="55" a="1"/>
  <c r="BK108" i="55" s="1"/>
  <c r="BQ108" i="55" s="1"/>
  <c r="BG8" i="67" a="1"/>
  <c r="BG8" i="67" s="1"/>
  <c r="BG9" i="67" a="1"/>
  <c r="BG9" i="67"/>
  <c r="BG10" i="67" a="1"/>
  <c r="BG10" i="67" s="1"/>
  <c r="BG11" i="67" a="1"/>
  <c r="BG11" i="67"/>
  <c r="BG12" i="67" a="1"/>
  <c r="BG12" i="67"/>
  <c r="BG13" i="67" a="1"/>
  <c r="BG13" i="67"/>
  <c r="BG14" i="67" a="1"/>
  <c r="BG14" i="67" s="1"/>
  <c r="BG15" i="67" a="1"/>
  <c r="BG15" i="67"/>
  <c r="BG16" i="67" a="1"/>
  <c r="BG16" i="67"/>
  <c r="BG17" i="67" a="1"/>
  <c r="BG17" i="67"/>
  <c r="BG18" i="67" a="1"/>
  <c r="BG18" i="67" s="1"/>
  <c r="BG19" i="67" a="1"/>
  <c r="BG19" i="67"/>
  <c r="BG20" i="67" a="1"/>
  <c r="BG20" i="67"/>
  <c r="BG21" i="67" a="1"/>
  <c r="BG21" i="67"/>
  <c r="BG22" i="67" a="1"/>
  <c r="BG22" i="67" s="1"/>
  <c r="BG23" i="67" a="1"/>
  <c r="BG23" i="67"/>
  <c r="BG24" i="67" a="1"/>
  <c r="BG24" i="67"/>
  <c r="BG25" i="67" a="1"/>
  <c r="BG25" i="67"/>
  <c r="BG26" i="67" a="1"/>
  <c r="BG26" i="67" s="1"/>
  <c r="BG27" i="67" a="1"/>
  <c r="BG27" i="67"/>
  <c r="BG28" i="67" a="1"/>
  <c r="BG28" i="67"/>
  <c r="BG29" i="67" a="1"/>
  <c r="BG29" i="67"/>
  <c r="BG30" i="67" a="1"/>
  <c r="BG30" i="67" s="1"/>
  <c r="BG31" i="67" a="1"/>
  <c r="BG31" i="67"/>
  <c r="BG32" i="67" a="1"/>
  <c r="BG32" i="67"/>
  <c r="BG33" i="67" a="1"/>
  <c r="BG33" i="67"/>
  <c r="BG34" i="67" a="1"/>
  <c r="BG34" i="67" s="1"/>
  <c r="BG35" i="67" a="1"/>
  <c r="BG35" i="67"/>
  <c r="BG36" i="67" a="1"/>
  <c r="BG36" i="67"/>
  <c r="BG37" i="67" a="1"/>
  <c r="BG37" i="67"/>
  <c r="BG38" i="67" a="1"/>
  <c r="BG38" i="67" s="1"/>
  <c r="BG39" i="67" a="1"/>
  <c r="BG39" i="67"/>
  <c r="BG40" i="67" a="1"/>
  <c r="BG40" i="67"/>
  <c r="BG41" i="67" a="1"/>
  <c r="BG41" i="67"/>
  <c r="BG42" i="67" a="1"/>
  <c r="BG42" i="67" s="1"/>
  <c r="BG43" i="67" a="1"/>
  <c r="BG43" i="67"/>
  <c r="BG44" i="67" a="1"/>
  <c r="BG44" i="67"/>
  <c r="BG45" i="67" a="1"/>
  <c r="BG45" i="67"/>
  <c r="BG46" i="67" a="1"/>
  <c r="BG46" i="67" s="1"/>
  <c r="BG47" i="67" a="1"/>
  <c r="BG47" i="67"/>
  <c r="BG48" i="67" a="1"/>
  <c r="BG48" i="67"/>
  <c r="BG49" i="67" a="1"/>
  <c r="BG49" i="67"/>
  <c r="BG50" i="67" a="1"/>
  <c r="BG50" i="67" s="1"/>
  <c r="BG51" i="67" a="1"/>
  <c r="BG51" i="67"/>
  <c r="BG52" i="67" a="1"/>
  <c r="BG52" i="67"/>
  <c r="BG53" i="67" a="1"/>
  <c r="BG53" i="67"/>
  <c r="BG54" i="67" a="1"/>
  <c r="BG54" i="67" s="1"/>
  <c r="BG55" i="67" a="1"/>
  <c r="BG55" i="67"/>
  <c r="BG56" i="67" a="1"/>
  <c r="BG56" i="67"/>
  <c r="BG57" i="67" a="1"/>
  <c r="BG57" i="67"/>
  <c r="BG58" i="67" a="1"/>
  <c r="BG58" i="67" s="1"/>
  <c r="BG59" i="67" a="1"/>
  <c r="BG59" i="67"/>
  <c r="BG60" i="67" a="1"/>
  <c r="BG60" i="67"/>
  <c r="BG61" i="67" a="1"/>
  <c r="BG61" i="67"/>
  <c r="BG62" i="67" a="1"/>
  <c r="BG62" i="67" s="1"/>
  <c r="BG63" i="67" a="1"/>
  <c r="BG63" i="67"/>
  <c r="BG64" i="67" a="1"/>
  <c r="BG64" i="67"/>
  <c r="BG65" i="67" a="1"/>
  <c r="BG65" i="67"/>
  <c r="BG66" i="67" a="1"/>
  <c r="BG66" i="67" s="1"/>
  <c r="BG67" i="67" a="1"/>
  <c r="BG67" i="67"/>
  <c r="BG68" i="67" a="1"/>
  <c r="BG68" i="67"/>
  <c r="BG69" i="67" a="1"/>
  <c r="BG69" i="67"/>
  <c r="BG70" i="67" a="1"/>
  <c r="BG70" i="67" s="1"/>
  <c r="BG71" i="67" a="1"/>
  <c r="BG71" i="67"/>
  <c r="BG72" i="67" a="1"/>
  <c r="BG72" i="67"/>
  <c r="BG73" i="67" a="1"/>
  <c r="BG73" i="67"/>
  <c r="BG74" i="67" a="1"/>
  <c r="BG74" i="67" s="1"/>
  <c r="BG75" i="67" a="1"/>
  <c r="BG75" i="67"/>
  <c r="BG76" i="67" a="1"/>
  <c r="BG76" i="67"/>
  <c r="BG77" i="67" a="1"/>
  <c r="BG77" i="67"/>
  <c r="BG78" i="67" a="1"/>
  <c r="BG78" i="67" s="1"/>
  <c r="BG79" i="67" a="1"/>
  <c r="BG79" i="67"/>
  <c r="BG80" i="67" a="1"/>
  <c r="BG80" i="67"/>
  <c r="BG81" i="67" a="1"/>
  <c r="BG81" i="67"/>
  <c r="BG82" i="67" a="1"/>
  <c r="BG82" i="67" s="1"/>
  <c r="BG83" i="67" a="1"/>
  <c r="BG83" i="67"/>
  <c r="BG84" i="67" a="1"/>
  <c r="BG84" i="67"/>
  <c r="BG85" i="67" a="1"/>
  <c r="BG85" i="67"/>
  <c r="BG86" i="67" a="1"/>
  <c r="BG86" i="67" s="1"/>
  <c r="BG87" i="67" a="1"/>
  <c r="BG87" i="67"/>
  <c r="BG88" i="67" a="1"/>
  <c r="BG88" i="67"/>
  <c r="BG89" i="67" a="1"/>
  <c r="BG89" i="67"/>
  <c r="BG90" i="67" a="1"/>
  <c r="BG90" i="67" s="1"/>
  <c r="BG91" i="67" a="1"/>
  <c r="BG91" i="67"/>
  <c r="BG92" i="67" a="1"/>
  <c r="BG92" i="67"/>
  <c r="BG93" i="67" a="1"/>
  <c r="BG93" i="67"/>
  <c r="BG94" i="67" a="1"/>
  <c r="BG94" i="67" s="1"/>
  <c r="BG95" i="67" a="1"/>
  <c r="BG95" i="67"/>
  <c r="BG96" i="67" a="1"/>
  <c r="BG96" i="67"/>
  <c r="BG97" i="67" a="1"/>
  <c r="BG97" i="67"/>
  <c r="BG98" i="67" a="1"/>
  <c r="BG98" i="67" s="1"/>
  <c r="BG99" i="67" a="1"/>
  <c r="BG99" i="67"/>
  <c r="BG100" i="67" a="1"/>
  <c r="BG100" i="67"/>
  <c r="BG101" i="67" a="1"/>
  <c r="BG101" i="67"/>
  <c r="BG102" i="67" a="1"/>
  <c r="BG102" i="67" s="1"/>
  <c r="BG103" i="67" a="1"/>
  <c r="BG103" i="67"/>
  <c r="BG104" i="67" a="1"/>
  <c r="BG104" i="67"/>
  <c r="BG4" i="67" a="1"/>
  <c r="BG4" i="67" s="1"/>
  <c r="BF10" i="67" a="1"/>
  <c r="BF10" i="67" s="1"/>
  <c r="BF11" i="67" a="1"/>
  <c r="BF11" i="67"/>
  <c r="BF12" i="67" a="1"/>
  <c r="BF12" i="67"/>
  <c r="BF13" i="67" a="1"/>
  <c r="BF13" i="67" s="1"/>
  <c r="BF14" i="67" a="1"/>
  <c r="BF14" i="67" s="1"/>
  <c r="BF15" i="67" a="1"/>
  <c r="BF15" i="67"/>
  <c r="BF16" i="67" a="1"/>
  <c r="BF16" i="67"/>
  <c r="BF17" i="67" a="1"/>
  <c r="BF17" i="67" s="1"/>
  <c r="BF18" i="67" a="1"/>
  <c r="BF18" i="67" s="1"/>
  <c r="BF19" i="67" a="1"/>
  <c r="BF19" i="67"/>
  <c r="BF20" i="67" a="1"/>
  <c r="BF20" i="67"/>
  <c r="BF21" i="67" a="1"/>
  <c r="BF21" i="67" s="1"/>
  <c r="BF22" i="67" a="1"/>
  <c r="BF22" i="67" s="1"/>
  <c r="BF23" i="67" a="1"/>
  <c r="BF23" i="67"/>
  <c r="BF24" i="67" a="1"/>
  <c r="BF24" i="67"/>
  <c r="BF25" i="67" a="1"/>
  <c r="BF25" i="67" s="1"/>
  <c r="BF26" i="67" a="1"/>
  <c r="BF26" i="67" s="1"/>
  <c r="BF27" i="67" a="1"/>
  <c r="BF27" i="67"/>
  <c r="BF28" i="67" a="1"/>
  <c r="BF28" i="67"/>
  <c r="BF29" i="67" a="1"/>
  <c r="BF29" i="67" s="1"/>
  <c r="BF30" i="67" a="1"/>
  <c r="BF30" i="67" s="1"/>
  <c r="BF31" i="67" a="1"/>
  <c r="BF31" i="67"/>
  <c r="BF32" i="67" a="1"/>
  <c r="BF32" i="67"/>
  <c r="BF33" i="67" a="1"/>
  <c r="BF33" i="67" s="1"/>
  <c r="BF34" i="67" a="1"/>
  <c r="BF34" i="67" s="1"/>
  <c r="BF35" i="67" a="1"/>
  <c r="BF35" i="67"/>
  <c r="BF36" i="67" a="1"/>
  <c r="BF36" i="67"/>
  <c r="BF37" i="67" a="1"/>
  <c r="BF37" i="67" s="1"/>
  <c r="BF38" i="67" a="1"/>
  <c r="BF38" i="67" s="1"/>
  <c r="BF39" i="67" a="1"/>
  <c r="BF39" i="67"/>
  <c r="BF40" i="67" a="1"/>
  <c r="BF40" i="67"/>
  <c r="BF41" i="67" a="1"/>
  <c r="BF41" i="67" s="1"/>
  <c r="BF42" i="67" a="1"/>
  <c r="BF42" i="67" s="1"/>
  <c r="BF43" i="67" a="1"/>
  <c r="BF43" i="67"/>
  <c r="BF44" i="67" a="1"/>
  <c r="BF44" i="67"/>
  <c r="BF45" i="67" a="1"/>
  <c r="BF45" i="67" s="1"/>
  <c r="BF46" i="67" a="1"/>
  <c r="BF46" i="67" s="1"/>
  <c r="BF47" i="67" a="1"/>
  <c r="BF47" i="67"/>
  <c r="BF48" i="67" a="1"/>
  <c r="BF48" i="67"/>
  <c r="BF49" i="67" a="1"/>
  <c r="BF49" i="67" s="1"/>
  <c r="BF50" i="67" a="1"/>
  <c r="BF50" i="67" s="1"/>
  <c r="BF51" i="67" a="1"/>
  <c r="BF51" i="67"/>
  <c r="BF52" i="67" a="1"/>
  <c r="BF52" i="67"/>
  <c r="BF53" i="67" a="1"/>
  <c r="BF53" i="67" s="1"/>
  <c r="BF54" i="67" a="1"/>
  <c r="BF54" i="67" s="1"/>
  <c r="BF55" i="67" a="1"/>
  <c r="BF55" i="67"/>
  <c r="BF56" i="67" a="1"/>
  <c r="BF56" i="67"/>
  <c r="BF57" i="67" a="1"/>
  <c r="BF57" i="67" s="1"/>
  <c r="BF58" i="67" a="1"/>
  <c r="BF58" i="67" s="1"/>
  <c r="BF59" i="67" a="1"/>
  <c r="BF59" i="67"/>
  <c r="BF60" i="67" a="1"/>
  <c r="BF60" i="67"/>
  <c r="BF61" i="67" a="1"/>
  <c r="BF61" i="67" s="1"/>
  <c r="BF62" i="67" a="1"/>
  <c r="BF62" i="67" s="1"/>
  <c r="BF63" i="67" a="1"/>
  <c r="BF63" i="67"/>
  <c r="BF64" i="67" a="1"/>
  <c r="BF64" i="67"/>
  <c r="BF65" i="67" a="1"/>
  <c r="BF65" i="67" s="1"/>
  <c r="BF66" i="67" a="1"/>
  <c r="BF66" i="67" s="1"/>
  <c r="BF67" i="67" a="1"/>
  <c r="BF67" i="67"/>
  <c r="BF68" i="67" a="1"/>
  <c r="BF68" i="67"/>
  <c r="BF69" i="67" a="1"/>
  <c r="BF69" i="67" s="1"/>
  <c r="BF70" i="67" a="1"/>
  <c r="BF70" i="67" s="1"/>
  <c r="BF71" i="67" a="1"/>
  <c r="BF71" i="67"/>
  <c r="BF72" i="67" a="1"/>
  <c r="BF72" i="67"/>
  <c r="BF73" i="67" a="1"/>
  <c r="BF73" i="67" s="1"/>
  <c r="BF74" i="67" a="1"/>
  <c r="BF74" i="67" s="1"/>
  <c r="BF75" i="67" a="1"/>
  <c r="BF75" i="67"/>
  <c r="BF76" i="67" a="1"/>
  <c r="BF76" i="67"/>
  <c r="BF77" i="67" a="1"/>
  <c r="BF77" i="67" s="1"/>
  <c r="BF78" i="67" a="1"/>
  <c r="BF78" i="67" s="1"/>
  <c r="BF79" i="67" a="1"/>
  <c r="BF79" i="67"/>
  <c r="BF80" i="67" a="1"/>
  <c r="BF80" i="67"/>
  <c r="BF81" i="67" a="1"/>
  <c r="BF81" i="67" s="1"/>
  <c r="BF82" i="67" a="1"/>
  <c r="BF82" i="67" s="1"/>
  <c r="BF83" i="67" a="1"/>
  <c r="BF83" i="67"/>
  <c r="BF84" i="67" a="1"/>
  <c r="BF84" i="67"/>
  <c r="BF85" i="67" a="1"/>
  <c r="BF85" i="67" s="1"/>
  <c r="BF86" i="67" a="1"/>
  <c r="BF86" i="67" s="1"/>
  <c r="BF87" i="67" a="1"/>
  <c r="BF87" i="67"/>
  <c r="BF88" i="67" a="1"/>
  <c r="BF88" i="67"/>
  <c r="BF89" i="67" a="1"/>
  <c r="BF89" i="67" s="1"/>
  <c r="BF90" i="67" a="1"/>
  <c r="BF90" i="67" s="1"/>
  <c r="BF91" i="67" a="1"/>
  <c r="BF91" i="67"/>
  <c r="BF92" i="67" a="1"/>
  <c r="BF92" i="67"/>
  <c r="BF93" i="67" a="1"/>
  <c r="BF93" i="67" s="1"/>
  <c r="BF94" i="67" a="1"/>
  <c r="BF94" i="67" s="1"/>
  <c r="BF95" i="67" a="1"/>
  <c r="BF95" i="67"/>
  <c r="BF96" i="67" a="1"/>
  <c r="BF96" i="67"/>
  <c r="BF97" i="67" a="1"/>
  <c r="BF97" i="67" s="1"/>
  <c r="BF98" i="67" a="1"/>
  <c r="BF98" i="67" s="1"/>
  <c r="BF99" i="67" a="1"/>
  <c r="BF99" i="67"/>
  <c r="BF100" i="67" a="1"/>
  <c r="BF100" i="67"/>
  <c r="BF101" i="67" a="1"/>
  <c r="BF101" i="67" s="1"/>
  <c r="BF102" i="67" a="1"/>
  <c r="BF102" i="67" s="1"/>
  <c r="BF103" i="67" a="1"/>
  <c r="BF103" i="67"/>
  <c r="BF104" i="67" a="1"/>
  <c r="BF104" i="67"/>
  <c r="BF4" i="67" a="1"/>
  <c r="BF4" i="67" s="1"/>
  <c r="BF8" i="67" a="1"/>
  <c r="BF8" i="67" s="1"/>
  <c r="BF9" i="67" a="1"/>
  <c r="BF9" i="67" s="1"/>
  <c r="BD8" i="67"/>
  <c r="BD9" i="67"/>
  <c r="BD10" i="67"/>
  <c r="BD11" i="67"/>
  <c r="BD12" i="67"/>
  <c r="BD13" i="67"/>
  <c r="BD14" i="67"/>
  <c r="BD15" i="67"/>
  <c r="BD16" i="67"/>
  <c r="BD17" i="67"/>
  <c r="BD18" i="67"/>
  <c r="BD19" i="67"/>
  <c r="BD20" i="67"/>
  <c r="BD21" i="67"/>
  <c r="BD22" i="67"/>
  <c r="BD23" i="67"/>
  <c r="BD24" i="67"/>
  <c r="BD25" i="67"/>
  <c r="BD26" i="67"/>
  <c r="BD27" i="67"/>
  <c r="BD28" i="67"/>
  <c r="BD29" i="67"/>
  <c r="BD30" i="67"/>
  <c r="BD31" i="67"/>
  <c r="BD32" i="67"/>
  <c r="BD33" i="67"/>
  <c r="BD34" i="67"/>
  <c r="BD35" i="67"/>
  <c r="BD36" i="67"/>
  <c r="BD37" i="67"/>
  <c r="BD38" i="67"/>
  <c r="BD39" i="67"/>
  <c r="BD40" i="67"/>
  <c r="BD41" i="67"/>
  <c r="BD42" i="67"/>
  <c r="BD43" i="67"/>
  <c r="BD44" i="67"/>
  <c r="BD45" i="67"/>
  <c r="BD46" i="67"/>
  <c r="BD47" i="67"/>
  <c r="BD48" i="67"/>
  <c r="BD49" i="67"/>
  <c r="BD50" i="67"/>
  <c r="BD51" i="67"/>
  <c r="BD52" i="67"/>
  <c r="BD53" i="67"/>
  <c r="BD54" i="67"/>
  <c r="BD55" i="67"/>
  <c r="BD56" i="67"/>
  <c r="BD57" i="67"/>
  <c r="BD58" i="67"/>
  <c r="BD59" i="67"/>
  <c r="BD60" i="67"/>
  <c r="BD61" i="67"/>
  <c r="BD62" i="67"/>
  <c r="BD63" i="67"/>
  <c r="BD64" i="67"/>
  <c r="BD65" i="67"/>
  <c r="BD66" i="67"/>
  <c r="BD67" i="67"/>
  <c r="BD68" i="67"/>
  <c r="BD69" i="67"/>
  <c r="BD70" i="67"/>
  <c r="BD71" i="67"/>
  <c r="BD72" i="67"/>
  <c r="BD73" i="67"/>
  <c r="BD74" i="67"/>
  <c r="BD75" i="67"/>
  <c r="BD76" i="67"/>
  <c r="BD77" i="67"/>
  <c r="BD78" i="67"/>
  <c r="BD79" i="67"/>
  <c r="BD80" i="67"/>
  <c r="BD81" i="67"/>
  <c r="BD82" i="67"/>
  <c r="BD83" i="67"/>
  <c r="BD84" i="67"/>
  <c r="BD85" i="67"/>
  <c r="BD86" i="67"/>
  <c r="BD87" i="67"/>
  <c r="BD88" i="67"/>
  <c r="BD89" i="67"/>
  <c r="BD90" i="67"/>
  <c r="BD91" i="67"/>
  <c r="BD92" i="67"/>
  <c r="BD93" i="67"/>
  <c r="BD94" i="67"/>
  <c r="BD95" i="67"/>
  <c r="BD96" i="67"/>
  <c r="BD97" i="67"/>
  <c r="BD98" i="67"/>
  <c r="BD99" i="67"/>
  <c r="BD100" i="67"/>
  <c r="BD101" i="67"/>
  <c r="BD102" i="67"/>
  <c r="BD103" i="67"/>
  <c r="BD104" i="67"/>
  <c r="BD4" i="67"/>
  <c r="BC8" i="67"/>
  <c r="BC9" i="67"/>
  <c r="BC10" i="67"/>
  <c r="BC11" i="67"/>
  <c r="BC12" i="67"/>
  <c r="BC13" i="67"/>
  <c r="BC14" i="67"/>
  <c r="BC15" i="67"/>
  <c r="BC16" i="67"/>
  <c r="BC17" i="67"/>
  <c r="BC18" i="67"/>
  <c r="BC19" i="67"/>
  <c r="BC20" i="67"/>
  <c r="BC21" i="67"/>
  <c r="BC22" i="67"/>
  <c r="BC23" i="67"/>
  <c r="BC24" i="67"/>
  <c r="BC25" i="67"/>
  <c r="BC26" i="67"/>
  <c r="BC27" i="67"/>
  <c r="BC28" i="67"/>
  <c r="BC29" i="67"/>
  <c r="BC30" i="67"/>
  <c r="BC31" i="67"/>
  <c r="BC32" i="67"/>
  <c r="BC33" i="67"/>
  <c r="BC34" i="67"/>
  <c r="BC35" i="67"/>
  <c r="BC36" i="67"/>
  <c r="BC37" i="67"/>
  <c r="BC38" i="67"/>
  <c r="BC39" i="67"/>
  <c r="BC40" i="67"/>
  <c r="BC41" i="67"/>
  <c r="BC42" i="67"/>
  <c r="BC43" i="67"/>
  <c r="BC44" i="67"/>
  <c r="BC45" i="67"/>
  <c r="BC46" i="67"/>
  <c r="BC47" i="67"/>
  <c r="BC48" i="67"/>
  <c r="BC49" i="67"/>
  <c r="BC50" i="67"/>
  <c r="BC51" i="67"/>
  <c r="BC52" i="67"/>
  <c r="BC53" i="67"/>
  <c r="BC54" i="67"/>
  <c r="BC55" i="67"/>
  <c r="BC56" i="67"/>
  <c r="BC57" i="67"/>
  <c r="BC58" i="67"/>
  <c r="BC59" i="67"/>
  <c r="BC60" i="67"/>
  <c r="BC61" i="67"/>
  <c r="BC62" i="67"/>
  <c r="BC63" i="67"/>
  <c r="BC64" i="67"/>
  <c r="BC65" i="67"/>
  <c r="BC66" i="67"/>
  <c r="BC67" i="67"/>
  <c r="BC68" i="67"/>
  <c r="BC69" i="67"/>
  <c r="BC70" i="67"/>
  <c r="BC71" i="67"/>
  <c r="BC72" i="67"/>
  <c r="BC73" i="67"/>
  <c r="BC74" i="67"/>
  <c r="BC75" i="67"/>
  <c r="BC76" i="67"/>
  <c r="BC77" i="67"/>
  <c r="BC78" i="67"/>
  <c r="BC79" i="67"/>
  <c r="BC80" i="67"/>
  <c r="BC81" i="67"/>
  <c r="BC82" i="67"/>
  <c r="BC83" i="67"/>
  <c r="BC84" i="67"/>
  <c r="BC85" i="67"/>
  <c r="BC86" i="67"/>
  <c r="BC87" i="67"/>
  <c r="BC88" i="67"/>
  <c r="BC89" i="67"/>
  <c r="BC90" i="67"/>
  <c r="BC91" i="67"/>
  <c r="BC92" i="67"/>
  <c r="BC93" i="67"/>
  <c r="BC94" i="67"/>
  <c r="BC95" i="67"/>
  <c r="BC96" i="67"/>
  <c r="BC97" i="67"/>
  <c r="BC98" i="67"/>
  <c r="BC99" i="67"/>
  <c r="BC100" i="67"/>
  <c r="BC101" i="67"/>
  <c r="BC102" i="67"/>
  <c r="BC103" i="67"/>
  <c r="BC104" i="67"/>
  <c r="BK8" i="55" a="1"/>
  <c r="BK8" i="55" s="1"/>
  <c r="BH8" i="55"/>
  <c r="BG8" i="55"/>
  <c r="BC4" i="67"/>
  <c r="BJ8" i="55" a="1"/>
  <c r="BJ8" i="55" s="1"/>
  <c r="BP95" i="55" l="1"/>
  <c r="BL95" i="55"/>
  <c r="BP93" i="55"/>
  <c r="BL93" i="55"/>
  <c r="BP90" i="55"/>
  <c r="BL90" i="55"/>
  <c r="BN74" i="55" a="1"/>
  <c r="BN74" i="55" s="1"/>
  <c r="BP72" i="55"/>
  <c r="BL72" i="55"/>
  <c r="BO70" i="55" a="1"/>
  <c r="BO70" i="55" s="1"/>
  <c r="BN70" i="55" a="1"/>
  <c r="BN70" i="55" s="1"/>
  <c r="BR70" i="55"/>
  <c r="BL81" i="55"/>
  <c r="BP81" i="55"/>
  <c r="BP77" i="55"/>
  <c r="BL77" i="55"/>
  <c r="BP104" i="55"/>
  <c r="BL104" i="55"/>
  <c r="BR67" i="55"/>
  <c r="BO67" i="55" a="1"/>
  <c r="BO67" i="55" s="1"/>
  <c r="BL108" i="55"/>
  <c r="BP108" i="55"/>
  <c r="BP106" i="55"/>
  <c r="BL106" i="55"/>
  <c r="BP103" i="55"/>
  <c r="BL103" i="55"/>
  <c r="BN100" i="55" a="1"/>
  <c r="BN100" i="55" s="1"/>
  <c r="BN96" i="55" a="1"/>
  <c r="BN96" i="55" s="1"/>
  <c r="BL83" i="55"/>
  <c r="BP83" i="55"/>
  <c r="BL78" i="55"/>
  <c r="BP78" i="55"/>
  <c r="BL68" i="55"/>
  <c r="BP68" i="55"/>
  <c r="BL107" i="55"/>
  <c r="BP107" i="55"/>
  <c r="BL82" i="55"/>
  <c r="BP82" i="55"/>
  <c r="BN71" i="55" a="1"/>
  <c r="BN71" i="55" s="1"/>
  <c r="BQ71" i="55"/>
  <c r="BP101" i="55"/>
  <c r="BL101" i="55"/>
  <c r="BP79" i="55"/>
  <c r="BL79" i="55"/>
  <c r="BP91" i="55"/>
  <c r="BL91" i="55"/>
  <c r="BL88" i="55"/>
  <c r="BP88" i="55"/>
  <c r="BP75" i="55"/>
  <c r="BL75" i="55"/>
  <c r="BP105" i="55"/>
  <c r="BL105" i="55"/>
  <c r="BP102" i="55"/>
  <c r="BL102" i="55"/>
  <c r="BO100" i="55" a="1"/>
  <c r="BO100" i="55" s="1"/>
  <c r="BP98" i="55"/>
  <c r="BL98" i="55"/>
  <c r="BJ57" i="55" a="1"/>
  <c r="BJ57" i="55" s="1"/>
  <c r="BK57" i="55" a="1"/>
  <c r="BK57" i="55" s="1"/>
  <c r="BQ57" i="55" s="1"/>
  <c r="BH99" i="55"/>
  <c r="BN99" i="55" s="1" a="1"/>
  <c r="BN99" i="55" s="1"/>
  <c r="AY98" i="55"/>
  <c r="BL97" i="55"/>
  <c r="BK95" i="55" a="1"/>
  <c r="BK95" i="55" s="1"/>
  <c r="BQ95" i="55" s="1"/>
  <c r="BH94" i="55"/>
  <c r="BJ92" i="55" a="1"/>
  <c r="BJ92" i="55" s="1"/>
  <c r="AT88" i="55"/>
  <c r="AT85" i="55"/>
  <c r="BH83" i="55"/>
  <c r="BK78" i="55" a="1"/>
  <c r="BK78" i="55" s="1"/>
  <c r="BQ78" i="55" s="1"/>
  <c r="BH76" i="55"/>
  <c r="BK76" i="55" a="1"/>
  <c r="BK76" i="55" s="1"/>
  <c r="BQ76" i="55" s="1"/>
  <c r="BJ76" i="55" a="1"/>
  <c r="BJ76" i="55" s="1"/>
  <c r="BK72" i="55" a="1"/>
  <c r="BK72" i="55" s="1"/>
  <c r="BQ72" i="55" s="1"/>
  <c r="BP71" i="55"/>
  <c r="AY68" i="55"/>
  <c r="BL59" i="55"/>
  <c r="BP59" i="55"/>
  <c r="BR96" i="55"/>
  <c r="BK96" i="55" a="1"/>
  <c r="BK96" i="55" s="1"/>
  <c r="BQ96" i="55" s="1"/>
  <c r="AT95" i="55"/>
  <c r="BD93" i="55"/>
  <c r="BK90" i="55" a="1"/>
  <c r="BK90" i="55" s="1"/>
  <c r="BQ90" i="55" s="1"/>
  <c r="AT90" i="55"/>
  <c r="BL87" i="55"/>
  <c r="BL84" i="55"/>
  <c r="BP44" i="55"/>
  <c r="BL44" i="55"/>
  <c r="BG69" i="55"/>
  <c r="BI69" i="55" s="1"/>
  <c r="BH69" i="55"/>
  <c r="BK105" i="55" a="1"/>
  <c r="BK105" i="55" s="1"/>
  <c r="BQ105" i="55" s="1"/>
  <c r="BP67" i="55"/>
  <c r="BP64" i="55"/>
  <c r="BL64" i="55"/>
  <c r="BL60" i="55"/>
  <c r="BP60" i="55"/>
  <c r="BK98" i="55" a="1"/>
  <c r="BK98" i="55" s="1"/>
  <c r="BQ98" i="55" s="1"/>
  <c r="BN94" i="55" a="1"/>
  <c r="BN94" i="55" s="1"/>
  <c r="BP85" i="55"/>
  <c r="BL85" i="55"/>
  <c r="BO74" i="55" a="1"/>
  <c r="BO74" i="55" s="1"/>
  <c r="BO73" i="55" a="1"/>
  <c r="BO73" i="55" s="1"/>
  <c r="BP70" i="55"/>
  <c r="BQ69" i="55"/>
  <c r="BL53" i="55"/>
  <c r="BP53" i="55"/>
  <c r="BG36" i="55"/>
  <c r="BI36" i="55" s="1"/>
  <c r="BH36" i="55"/>
  <c r="AY88" i="55"/>
  <c r="BL86" i="55"/>
  <c r="AY85" i="55"/>
  <c r="BK79" i="55" a="1"/>
  <c r="BK79" i="55" s="1"/>
  <c r="BQ79" i="55" s="1"/>
  <c r="BR74" i="55"/>
  <c r="BL66" i="55"/>
  <c r="BJ65" i="55" a="1"/>
  <c r="BJ65" i="55" s="1"/>
  <c r="BK65" i="55" a="1"/>
  <c r="BK65" i="55" s="1"/>
  <c r="BQ65" i="55" s="1"/>
  <c r="BL49" i="55"/>
  <c r="BP49" i="55"/>
  <c r="BD101" i="55"/>
  <c r="BP74" i="55"/>
  <c r="BO71" i="55" a="1"/>
  <c r="BO71" i="55" s="1"/>
  <c r="BH65" i="55"/>
  <c r="BL58" i="55"/>
  <c r="BP58" i="55"/>
  <c r="BG54" i="55"/>
  <c r="BI54" i="55" s="1"/>
  <c r="BH54" i="55"/>
  <c r="BJ45" i="55" a="1"/>
  <c r="BJ45" i="55" s="1"/>
  <c r="BK45" i="55" a="1"/>
  <c r="BK45" i="55" s="1"/>
  <c r="BQ45" i="55" s="1"/>
  <c r="BL15" i="55"/>
  <c r="BP15" i="55"/>
  <c r="BP100" i="55"/>
  <c r="BR94" i="55"/>
  <c r="BJ89" i="55" a="1"/>
  <c r="BJ89" i="55" s="1"/>
  <c r="BO80" i="55" a="1"/>
  <c r="BO80" i="55" s="1"/>
  <c r="BG73" i="55"/>
  <c r="BI73" i="55" s="1"/>
  <c r="BN73" i="55" s="1" a="1"/>
  <c r="BN73" i="55" s="1"/>
  <c r="BH73" i="55"/>
  <c r="BR71" i="55"/>
  <c r="BN69" i="55" a="1"/>
  <c r="BN69" i="55" s="1"/>
  <c r="BR69" i="55"/>
  <c r="BG67" i="55"/>
  <c r="BI67" i="55" s="1"/>
  <c r="BH67" i="55"/>
  <c r="BN67" i="55" s="1" a="1"/>
  <c r="BN67" i="55" s="1"/>
  <c r="AY55" i="55"/>
  <c r="BL38" i="55"/>
  <c r="BP38" i="55"/>
  <c r="BP62" i="55"/>
  <c r="BL62" i="55"/>
  <c r="BR61" i="55"/>
  <c r="BN61" i="55" a="1"/>
  <c r="BN61" i="55" s="1"/>
  <c r="BO61" i="55" a="1"/>
  <c r="BO61" i="55" s="1"/>
  <c r="BK54" i="55" a="1"/>
  <c r="BK54" i="55" s="1"/>
  <c r="BQ54" i="55" s="1"/>
  <c r="BJ54" i="55" a="1"/>
  <c r="BJ54" i="55" s="1"/>
  <c r="BL25" i="55"/>
  <c r="BP25" i="55"/>
  <c r="AY72" i="55"/>
  <c r="BK64" i="55" a="1"/>
  <c r="BK64" i="55" s="1"/>
  <c r="BQ64" i="55" s="1"/>
  <c r="AY57" i="55"/>
  <c r="BR47" i="55"/>
  <c r="BL31" i="55"/>
  <c r="BP31" i="55"/>
  <c r="BK21" i="55" a="1"/>
  <c r="BK21" i="55" s="1"/>
  <c r="BQ21" i="55" s="1"/>
  <c r="BP63" i="55"/>
  <c r="BL63" i="55"/>
  <c r="BH62" i="55"/>
  <c r="BJ55" i="55" a="1"/>
  <c r="BJ55" i="55" s="1"/>
  <c r="BK55" i="55" a="1"/>
  <c r="BK55" i="55" s="1"/>
  <c r="BQ55" i="55" s="1"/>
  <c r="BP51" i="55"/>
  <c r="BL50" i="55"/>
  <c r="BP50" i="55"/>
  <c r="BP21" i="55"/>
  <c r="BL21" i="55"/>
  <c r="BD14" i="55"/>
  <c r="BD65" i="55"/>
  <c r="BP61" i="55"/>
  <c r="BG53" i="55"/>
  <c r="BI53" i="55" s="1"/>
  <c r="BH53" i="55"/>
  <c r="BL52" i="55"/>
  <c r="BP52" i="55"/>
  <c r="BN51" i="55" a="1"/>
  <c r="BN51" i="55" s="1"/>
  <c r="BO51" i="55" a="1"/>
  <c r="BO51" i="55" s="1"/>
  <c r="BK43" i="55" a="1"/>
  <c r="BK43" i="55" s="1"/>
  <c r="BQ43" i="55" s="1"/>
  <c r="BJ43" i="55" a="1"/>
  <c r="BJ43" i="55" s="1"/>
  <c r="BG41" i="55"/>
  <c r="BI41" i="55" s="1"/>
  <c r="BN41" i="55" s="1" a="1"/>
  <c r="BN41" i="55" s="1"/>
  <c r="BH41" i="55"/>
  <c r="AT17" i="55"/>
  <c r="AY64" i="55"/>
  <c r="BJ56" i="55" a="1"/>
  <c r="BJ56" i="55" s="1"/>
  <c r="BK56" i="55" a="1"/>
  <c r="BK56" i="55" s="1"/>
  <c r="BQ56" i="55" s="1"/>
  <c r="BL33" i="55"/>
  <c r="BP33" i="55"/>
  <c r="AT28" i="55"/>
  <c r="BL17" i="55"/>
  <c r="BP17" i="55"/>
  <c r="BD75" i="55"/>
  <c r="AT67" i="55"/>
  <c r="AY66" i="55"/>
  <c r="BN48" i="55" a="1"/>
  <c r="BN48" i="55" s="1"/>
  <c r="BR48" i="55"/>
  <c r="BO48" i="55" a="1"/>
  <c r="BO48" i="55" s="1"/>
  <c r="BO30" i="55" a="1"/>
  <c r="BO30" i="55" s="1"/>
  <c r="BN30" i="55" a="1"/>
  <c r="BN30" i="55" s="1"/>
  <c r="BR30" i="55"/>
  <c r="BL24" i="55"/>
  <c r="BP24" i="55"/>
  <c r="BD51" i="55"/>
  <c r="BL46" i="55"/>
  <c r="BP46" i="55"/>
  <c r="AT44" i="55"/>
  <c r="AY43" i="55"/>
  <c r="BD42" i="55"/>
  <c r="BD23" i="55"/>
  <c r="BG20" i="55"/>
  <c r="BI20" i="55" s="1"/>
  <c r="BH20" i="55"/>
  <c r="BN16" i="55" a="1"/>
  <c r="BN16" i="55" s="1"/>
  <c r="BR16" i="55"/>
  <c r="BP41" i="55"/>
  <c r="BL39" i="55"/>
  <c r="BN32" i="55" a="1"/>
  <c r="BN32" i="55" s="1"/>
  <c r="BR32" i="55"/>
  <c r="BO32" i="55" a="1"/>
  <c r="BO32" i="55" s="1"/>
  <c r="BJ26" i="55" a="1"/>
  <c r="BJ26" i="55" s="1"/>
  <c r="BK26" i="55" a="1"/>
  <c r="BK26" i="55" s="1"/>
  <c r="BQ26" i="55" s="1"/>
  <c r="BO22" i="55" a="1"/>
  <c r="BO22" i="55" s="1"/>
  <c r="BN22" i="55" a="1"/>
  <c r="BN22" i="55" s="1"/>
  <c r="BR22" i="55"/>
  <c r="BL20" i="55"/>
  <c r="BL18" i="55"/>
  <c r="BP18" i="55"/>
  <c r="AY13" i="55"/>
  <c r="BO14" i="55" a="1"/>
  <c r="BO14" i="55" s="1"/>
  <c r="BN14" i="55" a="1"/>
  <c r="BN14" i="55" s="1"/>
  <c r="BR14" i="55"/>
  <c r="BP12" i="55"/>
  <c r="BL12" i="55"/>
  <c r="BO41" i="55" a="1"/>
  <c r="BO41" i="55" s="1"/>
  <c r="BP29" i="55"/>
  <c r="BL29" i="55"/>
  <c r="BL23" i="55"/>
  <c r="BP23" i="55"/>
  <c r="BD60" i="55"/>
  <c r="AT54" i="55"/>
  <c r="BL42" i="55"/>
  <c r="BP42" i="55"/>
  <c r="BN40" i="55" a="1"/>
  <c r="BN40" i="55" s="1"/>
  <c r="BR40" i="55"/>
  <c r="BP36" i="55"/>
  <c r="BL36" i="55"/>
  <c r="BL34" i="55"/>
  <c r="BP34" i="55"/>
  <c r="BL37" i="55"/>
  <c r="BJ28" i="55" a="1"/>
  <c r="BJ28" i="55" s="1"/>
  <c r="AY21" i="55"/>
  <c r="BD10" i="55"/>
  <c r="BK47" i="55" a="1"/>
  <c r="BK47" i="55" s="1"/>
  <c r="BQ47" i="55" s="1"/>
  <c r="BK11" i="55" a="1"/>
  <c r="BK11" i="55" s="1"/>
  <c r="BQ11" i="55" s="1"/>
  <c r="BJ11" i="55" a="1"/>
  <c r="BJ11" i="55" s="1"/>
  <c r="BH42" i="55"/>
  <c r="BK37" i="55" a="1"/>
  <c r="BK37" i="55" s="1"/>
  <c r="BQ37" i="55" s="1"/>
  <c r="BJ35" i="55" a="1"/>
  <c r="BJ35" i="55" s="1"/>
  <c r="BD26" i="55"/>
  <c r="BH25" i="55"/>
  <c r="BD24" i="55"/>
  <c r="BK19" i="55" a="1"/>
  <c r="BK19" i="55" s="1"/>
  <c r="BQ19" i="55" s="1"/>
  <c r="BJ19" i="55" a="1"/>
  <c r="BJ19" i="55" s="1"/>
  <c r="BK18" i="55" a="1"/>
  <c r="BK18" i="55" s="1"/>
  <c r="BQ18" i="55" s="1"/>
  <c r="BL10" i="55"/>
  <c r="BP10" i="55"/>
  <c r="BD34" i="55"/>
  <c r="BH33" i="55"/>
  <c r="BD32" i="55"/>
  <c r="AY31" i="55"/>
  <c r="BK27" i="55" a="1"/>
  <c r="BK27" i="55" s="1"/>
  <c r="BQ27" i="55" s="1"/>
  <c r="BJ27" i="55" a="1"/>
  <c r="BJ27" i="55" s="1"/>
  <c r="AT26" i="55"/>
  <c r="BH14" i="55"/>
  <c r="AE5" i="70"/>
  <c r="AD5" i="70"/>
  <c r="M5" i="70"/>
  <c r="O5" i="70" s="1"/>
  <c r="BP19" i="55" l="1"/>
  <c r="BL19" i="55"/>
  <c r="BN84" i="55" a="1"/>
  <c r="BN84" i="55" s="1"/>
  <c r="BR84" i="55"/>
  <c r="BO84" i="55" a="1"/>
  <c r="BO84" i="55" s="1"/>
  <c r="BR34" i="55"/>
  <c r="BN34" i="55" a="1"/>
  <c r="BN34" i="55" s="1"/>
  <c r="BO34" i="55" a="1"/>
  <c r="BO34" i="55" s="1"/>
  <c r="BR62" i="55"/>
  <c r="BN62" i="55" a="1"/>
  <c r="BN62" i="55" s="1"/>
  <c r="BO62" i="55" a="1"/>
  <c r="BO62" i="55" s="1"/>
  <c r="BR10" i="55"/>
  <c r="BN10" i="55" a="1"/>
  <c r="BN10" i="55" s="1"/>
  <c r="BP28" i="55"/>
  <c r="BL28" i="55"/>
  <c r="BO47" i="55" a="1"/>
  <c r="BO47" i="55" s="1"/>
  <c r="BL89" i="55"/>
  <c r="BP89" i="55"/>
  <c r="BN49" i="55" a="1"/>
  <c r="BN49" i="55" s="1"/>
  <c r="BO49" i="55" a="1"/>
  <c r="BO49" i="55" s="1"/>
  <c r="BR49" i="55"/>
  <c r="BR60" i="55"/>
  <c r="BN60" i="55" a="1"/>
  <c r="BN60" i="55" s="1"/>
  <c r="BO60" i="55" a="1"/>
  <c r="BO60" i="55" s="1"/>
  <c r="BN44" i="55" a="1"/>
  <c r="BN44" i="55" s="1"/>
  <c r="BO44" i="55" a="1"/>
  <c r="BO44" i="55" s="1"/>
  <c r="BR44" i="55"/>
  <c r="BR88" i="55"/>
  <c r="BN88" i="55" a="1"/>
  <c r="BN88" i="55" s="1"/>
  <c r="BO88" i="55" a="1"/>
  <c r="BO88" i="55" s="1"/>
  <c r="BO78" i="55" a="1"/>
  <c r="BO78" i="55" s="1"/>
  <c r="BN78" i="55" a="1"/>
  <c r="BN78" i="55" s="1"/>
  <c r="BR78" i="55"/>
  <c r="BR77" i="55"/>
  <c r="BN77" i="55" a="1"/>
  <c r="BN77" i="55" s="1"/>
  <c r="BO77" i="55" a="1"/>
  <c r="BO77" i="55" s="1"/>
  <c r="BP27" i="55"/>
  <c r="BL27" i="55"/>
  <c r="BR37" i="55"/>
  <c r="BN37" i="55" a="1"/>
  <c r="BN37" i="55" s="1"/>
  <c r="BO37" i="55" a="1"/>
  <c r="BO37" i="55" s="1"/>
  <c r="BR42" i="55"/>
  <c r="BO42" i="55" a="1"/>
  <c r="BO42" i="55" s="1"/>
  <c r="BN42" i="55" a="1"/>
  <c r="BN42" i="55" s="1"/>
  <c r="BR18" i="55"/>
  <c r="BN18" i="55" a="1"/>
  <c r="BN18" i="55" s="1"/>
  <c r="BO18" i="55" a="1"/>
  <c r="BO18" i="55" s="1"/>
  <c r="BN24" i="55" a="1"/>
  <c r="BN24" i="55" s="1"/>
  <c r="BR24" i="55"/>
  <c r="BO24" i="55" a="1"/>
  <c r="BO24" i="55" s="1"/>
  <c r="BP56" i="55"/>
  <c r="BL56" i="55"/>
  <c r="BN21" i="55" a="1"/>
  <c r="BN21" i="55" s="1"/>
  <c r="BO21" i="55" a="1"/>
  <c r="BO21" i="55" s="1"/>
  <c r="BR21" i="55"/>
  <c r="BR63" i="55"/>
  <c r="BN63" i="55" a="1"/>
  <c r="BN63" i="55" s="1"/>
  <c r="BO63" i="55" a="1"/>
  <c r="BO63" i="55" s="1"/>
  <c r="BO96" i="55" a="1"/>
  <c r="BO96" i="55" s="1"/>
  <c r="BO64" i="55" a="1"/>
  <c r="BO64" i="55" s="1"/>
  <c r="BN64" i="55" a="1"/>
  <c r="BN64" i="55" s="1"/>
  <c r="BR64" i="55"/>
  <c r="BO97" i="55" a="1"/>
  <c r="BO97" i="55" s="1"/>
  <c r="BR97" i="55"/>
  <c r="BN97" i="55" a="1"/>
  <c r="BN97" i="55" s="1"/>
  <c r="BR102" i="55"/>
  <c r="BN102" i="55" a="1"/>
  <c r="BN102" i="55" s="1"/>
  <c r="BO102" i="55" a="1"/>
  <c r="BO102" i="55" s="1"/>
  <c r="BN91" i="55" a="1"/>
  <c r="BN91" i="55" s="1"/>
  <c r="BR91" i="55"/>
  <c r="BO91" i="55" a="1"/>
  <c r="BO91" i="55" s="1"/>
  <c r="BP11" i="55"/>
  <c r="BL11" i="55"/>
  <c r="BO20" i="55" a="1"/>
  <c r="BO20" i="55" s="1"/>
  <c r="BN20" i="55" a="1"/>
  <c r="BN20" i="55" s="1"/>
  <c r="BR20" i="55"/>
  <c r="BN58" i="55" a="1"/>
  <c r="BN58" i="55" s="1"/>
  <c r="BO58" i="55" a="1"/>
  <c r="BO58" i="55" s="1"/>
  <c r="BR58" i="55"/>
  <c r="BR108" i="55"/>
  <c r="BN108" i="55" a="1"/>
  <c r="BN108" i="55" s="1"/>
  <c r="BO108" i="55" a="1"/>
  <c r="BO108" i="55" s="1"/>
  <c r="BO39" i="55" a="1"/>
  <c r="BO39" i="55" s="1"/>
  <c r="BR39" i="55"/>
  <c r="BN39" i="55" a="1"/>
  <c r="BN39" i="55" s="1"/>
  <c r="BR52" i="55"/>
  <c r="BN52" i="55" a="1"/>
  <c r="BN52" i="55" s="1"/>
  <c r="BO52" i="55" a="1"/>
  <c r="BO52" i="55" s="1"/>
  <c r="BO87" i="55" a="1"/>
  <c r="BO87" i="55" s="1"/>
  <c r="BR87" i="55"/>
  <c r="BN87" i="55" a="1"/>
  <c r="BN87" i="55" s="1"/>
  <c r="BO105" i="55" a="1"/>
  <c r="BO105" i="55" s="1"/>
  <c r="BN105" i="55" a="1"/>
  <c r="BN105" i="55" s="1"/>
  <c r="BR105" i="55"/>
  <c r="BO79" i="55" a="1"/>
  <c r="BO79" i="55" s="1"/>
  <c r="BN79" i="55" a="1"/>
  <c r="BN79" i="55" s="1"/>
  <c r="BR79" i="55"/>
  <c r="BN36" i="55" a="1"/>
  <c r="BN36" i="55" s="1"/>
  <c r="BO36" i="55" a="1"/>
  <c r="BO36" i="55" s="1"/>
  <c r="BR36" i="55"/>
  <c r="BN17" i="55" a="1"/>
  <c r="BN17" i="55" s="1"/>
  <c r="BO17" i="55" a="1"/>
  <c r="BO17" i="55" s="1"/>
  <c r="BR17" i="55"/>
  <c r="BO15" i="55" a="1"/>
  <c r="BO15" i="55" s="1"/>
  <c r="BR15" i="55"/>
  <c r="BN107" i="55" a="1"/>
  <c r="BN107" i="55" s="1"/>
  <c r="BO107" i="55" a="1"/>
  <c r="BO107" i="55" s="1"/>
  <c r="BR107" i="55"/>
  <c r="BR93" i="55"/>
  <c r="BO93" i="55" a="1"/>
  <c r="BO93" i="55" s="1"/>
  <c r="BN93" i="55" a="1"/>
  <c r="BN93" i="55" s="1"/>
  <c r="BO23" i="55" a="1"/>
  <c r="BO23" i="55" s="1"/>
  <c r="BN23" i="55" a="1"/>
  <c r="BN23" i="55" s="1"/>
  <c r="BR23" i="55"/>
  <c r="BO31" i="55" a="1"/>
  <c r="BO31" i="55" s="1"/>
  <c r="BR31" i="55"/>
  <c r="BN31" i="55" a="1"/>
  <c r="BN31" i="55" s="1"/>
  <c r="BP57" i="55"/>
  <c r="BL57" i="55"/>
  <c r="BR101" i="55"/>
  <c r="BN101" i="55" a="1"/>
  <c r="BN101" i="55" s="1"/>
  <c r="BO101" i="55" a="1"/>
  <c r="BO101" i="55" s="1"/>
  <c r="BR103" i="55"/>
  <c r="BO103" i="55" a="1"/>
  <c r="BO103" i="55" s="1"/>
  <c r="BN103" i="55" a="1"/>
  <c r="BN103" i="55" s="1"/>
  <c r="BN29" i="55" a="1"/>
  <c r="BN29" i="55" s="1"/>
  <c r="BO29" i="55" a="1"/>
  <c r="BO29" i="55" s="1"/>
  <c r="BR29" i="55"/>
  <c r="BO46" i="55" a="1"/>
  <c r="BO46" i="55" s="1"/>
  <c r="BN46" i="55" a="1"/>
  <c r="BN46" i="55" s="1"/>
  <c r="BR46" i="55"/>
  <c r="BP43" i="55"/>
  <c r="BL43" i="55"/>
  <c r="BN47" i="55" a="1"/>
  <c r="BN47" i="55" s="1"/>
  <c r="BP54" i="55"/>
  <c r="BL54" i="55"/>
  <c r="BO38" i="55" a="1"/>
  <c r="BO38" i="55" s="1"/>
  <c r="BN38" i="55" a="1"/>
  <c r="BN38" i="55" s="1"/>
  <c r="BR38" i="55"/>
  <c r="BP45" i="55"/>
  <c r="BL45" i="55"/>
  <c r="BL92" i="55"/>
  <c r="BP92" i="55"/>
  <c r="BR98" i="55"/>
  <c r="BO98" i="55" a="1"/>
  <c r="BO98" i="55" s="1"/>
  <c r="BN98" i="55" a="1"/>
  <c r="BN98" i="55" s="1"/>
  <c r="BN68" i="55" a="1"/>
  <c r="BN68" i="55" s="1"/>
  <c r="BO68" i="55" a="1"/>
  <c r="BO68" i="55" s="1"/>
  <c r="BR68" i="55"/>
  <c r="BO104" i="55" a="1"/>
  <c r="BO104" i="55" s="1"/>
  <c r="BR104" i="55"/>
  <c r="BN104" i="55" a="1"/>
  <c r="BN104" i="55" s="1"/>
  <c r="BN95" i="55" a="1"/>
  <c r="BN95" i="55" s="1"/>
  <c r="BO95" i="55" a="1"/>
  <c r="BO95" i="55" s="1"/>
  <c r="BR95" i="55"/>
  <c r="BO12" i="55" a="1"/>
  <c r="BO12" i="55" s="1"/>
  <c r="BN12" i="55" a="1"/>
  <c r="BN12" i="55" s="1"/>
  <c r="BR12" i="55"/>
  <c r="BL65" i="55"/>
  <c r="BP65" i="55"/>
  <c r="BR82" i="55"/>
  <c r="BO82" i="55" a="1"/>
  <c r="BO82" i="55" s="1"/>
  <c r="BN82" i="55" a="1"/>
  <c r="BN82" i="55" s="1"/>
  <c r="BR83" i="55"/>
  <c r="BN83" i="55" a="1"/>
  <c r="BN83" i="55" s="1"/>
  <c r="BO83" i="55" a="1"/>
  <c r="BO83" i="55" s="1"/>
  <c r="BN90" i="55" a="1"/>
  <c r="BN90" i="55" s="1"/>
  <c r="BO90" i="55" a="1"/>
  <c r="BO90" i="55" s="1"/>
  <c r="BR90" i="55"/>
  <c r="BO66" i="55" a="1"/>
  <c r="BO66" i="55" s="1"/>
  <c r="BN66" i="55" a="1"/>
  <c r="BN66" i="55" s="1"/>
  <c r="BR66" i="55"/>
  <c r="BO85" i="55" a="1"/>
  <c r="BO85" i="55" s="1"/>
  <c r="BR85" i="55"/>
  <c r="BN85" i="55" a="1"/>
  <c r="BN85" i="55" s="1"/>
  <c r="BN59" i="55" a="1"/>
  <c r="BN59" i="55" s="1"/>
  <c r="BO59" i="55" a="1"/>
  <c r="BO59" i="55" s="1"/>
  <c r="BR59" i="55"/>
  <c r="BN81" i="55" a="1"/>
  <c r="BN81" i="55" s="1"/>
  <c r="BR81" i="55"/>
  <c r="BO81" i="55" a="1"/>
  <c r="BO81" i="55" s="1"/>
  <c r="BN50" i="55" a="1"/>
  <c r="BN50" i="55" s="1"/>
  <c r="BO50" i="55" a="1"/>
  <c r="BO50" i="55" s="1"/>
  <c r="BR50" i="55"/>
  <c r="BO25" i="55" a="1"/>
  <c r="BO25" i="55" s="1"/>
  <c r="BR25" i="55"/>
  <c r="BR53" i="55"/>
  <c r="BN53" i="55" a="1"/>
  <c r="BN53" i="55" s="1"/>
  <c r="BO53" i="55" a="1"/>
  <c r="BO53" i="55" s="1"/>
  <c r="BR75" i="55"/>
  <c r="BO75" i="55" a="1"/>
  <c r="BO75" i="55" s="1"/>
  <c r="BN75" i="55" a="1"/>
  <c r="BN75" i="55" s="1"/>
  <c r="BP35" i="55"/>
  <c r="BL35" i="55"/>
  <c r="BL26" i="55"/>
  <c r="BP26" i="55"/>
  <c r="BN33" i="55" a="1"/>
  <c r="BN33" i="55" s="1"/>
  <c r="BO33" i="55" a="1"/>
  <c r="BO33" i="55" s="1"/>
  <c r="BR33" i="55"/>
  <c r="BP55" i="55"/>
  <c r="BL55" i="55"/>
  <c r="BN86" i="55" a="1"/>
  <c r="BN86" i="55" s="1"/>
  <c r="BO86" i="55" a="1"/>
  <c r="BO86" i="55" s="1"/>
  <c r="BR86" i="55"/>
  <c r="BL76" i="55"/>
  <c r="BP76" i="55"/>
  <c r="BN106" i="55" a="1"/>
  <c r="BN106" i="55" s="1"/>
  <c r="BO106" i="55" a="1"/>
  <c r="BO106" i="55" s="1"/>
  <c r="BR106" i="55"/>
  <c r="BN72" i="55" a="1"/>
  <c r="BN72" i="55" s="1"/>
  <c r="BO72" i="55" a="1"/>
  <c r="BO72" i="55" s="1"/>
  <c r="BR72" i="55"/>
  <c r="AU9" i="55"/>
  <c r="AJ9" i="55"/>
  <c r="AP9" i="55"/>
  <c r="AQ9" i="55"/>
  <c r="AR9" i="55"/>
  <c r="AT9" i="55" s="1"/>
  <c r="AS9" i="55"/>
  <c r="AK9" i="55"/>
  <c r="AL9" i="55"/>
  <c r="AM9" i="55"/>
  <c r="AO9" i="55"/>
  <c r="AJ8" i="55"/>
  <c r="BR26" i="55" l="1"/>
  <c r="BN26" i="55" a="1"/>
  <c r="BN26" i="55" s="1"/>
  <c r="BO26" i="55" a="1"/>
  <c r="BO26" i="55" s="1"/>
  <c r="BR35" i="55"/>
  <c r="BN35" i="55" a="1"/>
  <c r="BN35" i="55" s="1"/>
  <c r="BO35" i="55" a="1"/>
  <c r="BO35" i="55" s="1"/>
  <c r="BN76" i="55" a="1"/>
  <c r="BN76" i="55" s="1"/>
  <c r="BO76" i="55" a="1"/>
  <c r="BO76" i="55" s="1"/>
  <c r="BR76" i="55"/>
  <c r="BO92" i="55" a="1"/>
  <c r="BO92" i="55" s="1"/>
  <c r="BN92" i="55" a="1"/>
  <c r="BN92" i="55" s="1"/>
  <c r="BR92" i="55"/>
  <c r="BO28" i="55" a="1"/>
  <c r="BO28" i="55" s="1"/>
  <c r="BR28" i="55"/>
  <c r="BN28" i="55" a="1"/>
  <c r="BN28" i="55" s="1"/>
  <c r="BR45" i="55"/>
  <c r="BN45" i="55" a="1"/>
  <c r="BN45" i="55" s="1"/>
  <c r="BO45" i="55" a="1"/>
  <c r="BO45" i="55" s="1"/>
  <c r="BR43" i="55"/>
  <c r="BN43" i="55" a="1"/>
  <c r="BN43" i="55" s="1"/>
  <c r="BO43" i="55" a="1"/>
  <c r="BO43" i="55" s="1"/>
  <c r="BR27" i="55"/>
  <c r="BO27" i="55" a="1"/>
  <c r="BO27" i="55" s="1"/>
  <c r="BN27" i="55" a="1"/>
  <c r="BN27" i="55" s="1"/>
  <c r="BR54" i="55"/>
  <c r="BO54" i="55" a="1"/>
  <c r="BO54" i="55" s="1"/>
  <c r="BN54" i="55" a="1"/>
  <c r="BN54" i="55" s="1"/>
  <c r="BR11" i="55"/>
  <c r="BN11" i="55" a="1"/>
  <c r="BN11" i="55" s="1"/>
  <c r="BO11" i="55" a="1"/>
  <c r="BO11" i="55" s="1"/>
  <c r="BO89" i="55" a="1"/>
  <c r="BO89" i="55" s="1"/>
  <c r="BR89" i="55"/>
  <c r="BN89" i="55" a="1"/>
  <c r="BN89" i="55" s="1"/>
  <c r="BR19" i="55"/>
  <c r="BO19" i="55" a="1"/>
  <c r="BO19" i="55" s="1"/>
  <c r="BN19" i="55" a="1"/>
  <c r="BN19" i="55" s="1"/>
  <c r="BO56" i="55" a="1"/>
  <c r="BO56" i="55" s="1"/>
  <c r="BR56" i="55"/>
  <c r="BN56" i="55" a="1"/>
  <c r="BN56" i="55" s="1"/>
  <c r="BR55" i="55"/>
  <c r="BO55" i="55" a="1"/>
  <c r="BO55" i="55" s="1"/>
  <c r="BN55" i="55" a="1"/>
  <c r="BN55" i="55" s="1"/>
  <c r="BO65" i="55" a="1"/>
  <c r="BO65" i="55" s="1"/>
  <c r="BN65" i="55" a="1"/>
  <c r="BN65" i="55" s="1"/>
  <c r="BR65" i="55"/>
  <c r="BO57" i="55" a="1"/>
  <c r="BO57" i="55" s="1"/>
  <c r="BR57" i="55"/>
  <c r="BN57" i="55" a="1"/>
  <c r="BN57" i="55" s="1"/>
  <c r="BA5" i="67"/>
  <c r="AB6" i="70" l="1"/>
  <c r="AB7" i="70"/>
  <c r="AB8" i="70"/>
  <c r="AB9" i="70"/>
  <c r="AB10" i="70"/>
  <c r="AC10" i="70" s="1"/>
  <c r="AB11" i="70"/>
  <c r="AB12" i="70"/>
  <c r="AC12" i="70" s="1"/>
  <c r="AB13" i="70"/>
  <c r="AC13" i="70" s="1"/>
  <c r="AB14" i="70"/>
  <c r="AB15" i="70"/>
  <c r="AB16" i="70"/>
  <c r="AB17" i="70"/>
  <c r="AB18" i="70"/>
  <c r="AC18" i="70" s="1"/>
  <c r="AB19" i="70"/>
  <c r="AB20" i="70"/>
  <c r="AC20" i="70" s="1"/>
  <c r="AB21" i="70"/>
  <c r="AC21" i="70" s="1"/>
  <c r="AB22" i="70"/>
  <c r="AB23" i="70"/>
  <c r="AB24" i="70"/>
  <c r="AB25" i="70"/>
  <c r="AB26" i="70"/>
  <c r="AC26" i="70" s="1"/>
  <c r="AB27" i="70"/>
  <c r="AB28" i="70"/>
  <c r="AC28" i="70" s="1"/>
  <c r="AB29" i="70"/>
  <c r="AC29" i="70" s="1"/>
  <c r="AB30" i="70"/>
  <c r="AB31" i="70"/>
  <c r="AB32" i="70"/>
  <c r="AB33" i="70"/>
  <c r="AB34" i="70"/>
  <c r="AC34" i="70" s="1"/>
  <c r="AB35" i="70"/>
  <c r="AB36" i="70"/>
  <c r="AC36" i="70" s="1"/>
  <c r="AB37" i="70"/>
  <c r="AC37" i="70" s="1"/>
  <c r="AB38" i="70"/>
  <c r="AB39" i="70"/>
  <c r="AB40" i="70"/>
  <c r="AB41" i="70"/>
  <c r="AB42" i="70"/>
  <c r="AC42" i="70" s="1"/>
  <c r="AB43" i="70"/>
  <c r="AB44" i="70"/>
  <c r="AC44" i="70" s="1"/>
  <c r="AB45" i="70"/>
  <c r="AC45" i="70" s="1"/>
  <c r="AB46" i="70"/>
  <c r="AB47" i="70"/>
  <c r="AB48" i="70"/>
  <c r="AB49" i="70"/>
  <c r="AB50" i="70"/>
  <c r="AC50" i="70" s="1"/>
  <c r="AB51" i="70"/>
  <c r="AB52" i="70"/>
  <c r="AC52" i="70" s="1"/>
  <c r="AB53" i="70"/>
  <c r="AC53" i="70" s="1"/>
  <c r="AB54" i="70"/>
  <c r="AB55" i="70"/>
  <c r="AB56" i="70"/>
  <c r="AB57" i="70"/>
  <c r="AB58" i="70"/>
  <c r="AC58" i="70" s="1"/>
  <c r="AB59" i="70"/>
  <c r="AB60" i="70"/>
  <c r="AC60" i="70" s="1"/>
  <c r="AB61" i="70"/>
  <c r="AC61" i="70" s="1"/>
  <c r="AB62" i="70"/>
  <c r="AB63" i="70"/>
  <c r="AB64" i="70"/>
  <c r="AB65" i="70"/>
  <c r="AB66" i="70"/>
  <c r="AC66" i="70" s="1"/>
  <c r="AB67" i="70"/>
  <c r="AB68" i="70"/>
  <c r="AC68" i="70" s="1"/>
  <c r="AB69" i="70"/>
  <c r="AC69" i="70" s="1"/>
  <c r="AB70" i="70"/>
  <c r="AB71" i="70"/>
  <c r="AB72" i="70"/>
  <c r="AB73" i="70"/>
  <c r="AB74" i="70"/>
  <c r="AC74" i="70" s="1"/>
  <c r="AB75" i="70"/>
  <c r="AB76" i="70"/>
  <c r="AC76" i="70" s="1"/>
  <c r="AB77" i="70"/>
  <c r="AC77" i="70" s="1"/>
  <c r="AB78" i="70"/>
  <c r="AB79" i="70"/>
  <c r="AB80" i="70"/>
  <c r="AB81" i="70"/>
  <c r="AB82" i="70"/>
  <c r="AC82" i="70" s="1"/>
  <c r="AB83" i="70"/>
  <c r="AB84" i="70"/>
  <c r="AC84" i="70" s="1"/>
  <c r="AB85" i="70"/>
  <c r="AC85" i="70" s="1"/>
  <c r="AB86" i="70"/>
  <c r="AB87" i="70"/>
  <c r="AB88" i="70"/>
  <c r="AB89" i="70"/>
  <c r="AB90" i="70"/>
  <c r="AC90" i="70" s="1"/>
  <c r="AB91" i="70"/>
  <c r="AB92" i="70"/>
  <c r="AC92" i="70" s="1"/>
  <c r="AB93" i="70"/>
  <c r="AC93" i="70" s="1"/>
  <c r="AB94" i="70"/>
  <c r="AB95" i="70"/>
  <c r="AB96" i="70"/>
  <c r="AB97" i="70"/>
  <c r="AB98" i="70"/>
  <c r="AC98" i="70" s="1"/>
  <c r="AB99" i="70"/>
  <c r="AB100" i="70"/>
  <c r="AC100" i="70" s="1"/>
  <c r="AB101" i="70"/>
  <c r="AC101" i="70" s="1"/>
  <c r="AB102" i="70"/>
  <c r="AB103" i="70"/>
  <c r="AB104" i="70"/>
  <c r="AC5" i="70"/>
  <c r="AC6" i="70"/>
  <c r="AC7" i="70"/>
  <c r="AC8" i="70"/>
  <c r="AC9" i="70"/>
  <c r="AC11" i="70"/>
  <c r="AC14" i="70"/>
  <c r="AC15" i="70"/>
  <c r="AC16" i="70"/>
  <c r="AC17" i="70"/>
  <c r="AC19" i="70"/>
  <c r="AC22" i="70"/>
  <c r="AC23" i="70"/>
  <c r="AC24" i="70"/>
  <c r="AC25" i="70"/>
  <c r="AC27" i="70"/>
  <c r="AC30" i="70"/>
  <c r="AC31" i="70"/>
  <c r="AC32" i="70"/>
  <c r="AC33" i="70"/>
  <c r="AC35" i="70"/>
  <c r="AC38" i="70"/>
  <c r="AC39" i="70"/>
  <c r="AC40" i="70"/>
  <c r="AC41" i="70"/>
  <c r="AC43" i="70"/>
  <c r="AC46" i="70"/>
  <c r="AC47" i="70"/>
  <c r="AC48" i="70"/>
  <c r="AC49" i="70"/>
  <c r="AC51" i="70"/>
  <c r="AC54" i="70"/>
  <c r="AC55" i="70"/>
  <c r="AC56" i="70"/>
  <c r="AC57" i="70"/>
  <c r="AC59" i="70"/>
  <c r="AC62" i="70"/>
  <c r="AC63" i="70"/>
  <c r="AC64" i="70"/>
  <c r="AC65" i="70"/>
  <c r="AC67" i="70"/>
  <c r="AC70" i="70"/>
  <c r="AC71" i="70"/>
  <c r="AC72" i="70"/>
  <c r="AC73" i="70"/>
  <c r="AC75" i="70"/>
  <c r="AC78" i="70"/>
  <c r="AC79" i="70"/>
  <c r="AC80" i="70"/>
  <c r="AC81" i="70"/>
  <c r="AC83" i="70"/>
  <c r="AC86" i="70"/>
  <c r="AC87" i="70"/>
  <c r="AC88" i="70"/>
  <c r="AC89" i="70"/>
  <c r="AC91" i="70"/>
  <c r="AC94" i="70"/>
  <c r="AC95" i="70"/>
  <c r="AC96" i="70"/>
  <c r="AC97" i="70"/>
  <c r="AC99" i="70"/>
  <c r="AC102" i="70"/>
  <c r="AC103" i="70"/>
  <c r="AC104" i="70"/>
  <c r="M6" i="70"/>
  <c r="M7" i="70"/>
  <c r="M8" i="70"/>
  <c r="M9" i="70"/>
  <c r="M10" i="70"/>
  <c r="M11" i="70"/>
  <c r="M12" i="70"/>
  <c r="M13" i="70"/>
  <c r="M14" i="70"/>
  <c r="M15" i="70"/>
  <c r="M16" i="70"/>
  <c r="M17" i="70"/>
  <c r="M18" i="70"/>
  <c r="M19" i="70"/>
  <c r="M20" i="70"/>
  <c r="M21" i="70"/>
  <c r="M22" i="70"/>
  <c r="M23" i="70"/>
  <c r="M24" i="70"/>
  <c r="M25" i="70"/>
  <c r="M26" i="70"/>
  <c r="M27" i="70"/>
  <c r="M28" i="70"/>
  <c r="M29" i="70"/>
  <c r="M30" i="70"/>
  <c r="M31" i="70"/>
  <c r="M32" i="70"/>
  <c r="M33" i="70"/>
  <c r="M34" i="70"/>
  <c r="M35" i="70"/>
  <c r="M36" i="70"/>
  <c r="M37" i="70"/>
  <c r="M38" i="70"/>
  <c r="M39" i="70"/>
  <c r="M40" i="70"/>
  <c r="M41" i="70"/>
  <c r="M42" i="70"/>
  <c r="M43" i="70"/>
  <c r="M44" i="70"/>
  <c r="M45" i="70"/>
  <c r="M46" i="70"/>
  <c r="M47" i="70"/>
  <c r="M48" i="70"/>
  <c r="M49" i="70"/>
  <c r="M50" i="70"/>
  <c r="M51" i="70"/>
  <c r="M52" i="70"/>
  <c r="M53" i="70"/>
  <c r="M54" i="70"/>
  <c r="M55" i="70"/>
  <c r="M56" i="70"/>
  <c r="M57" i="70"/>
  <c r="M58" i="70"/>
  <c r="M59" i="70"/>
  <c r="M60" i="70"/>
  <c r="M61" i="70"/>
  <c r="M62" i="70"/>
  <c r="M63" i="70"/>
  <c r="M64" i="70"/>
  <c r="M65" i="70"/>
  <c r="M66" i="70"/>
  <c r="M67" i="70"/>
  <c r="M68" i="70"/>
  <c r="M69" i="70"/>
  <c r="M70" i="70"/>
  <c r="M71" i="70"/>
  <c r="M72" i="70"/>
  <c r="M73" i="70"/>
  <c r="M74" i="70"/>
  <c r="M75" i="70"/>
  <c r="M76" i="70"/>
  <c r="M77" i="70"/>
  <c r="M78" i="70"/>
  <c r="M79" i="70"/>
  <c r="M80" i="70"/>
  <c r="M81" i="70"/>
  <c r="M82" i="70"/>
  <c r="M83" i="70"/>
  <c r="M84" i="70"/>
  <c r="M85" i="70"/>
  <c r="M86" i="70"/>
  <c r="M87" i="70"/>
  <c r="M88" i="70"/>
  <c r="M89" i="70"/>
  <c r="M90" i="70"/>
  <c r="M91" i="70"/>
  <c r="M92" i="70"/>
  <c r="M93" i="70"/>
  <c r="M94" i="70"/>
  <c r="M95" i="70"/>
  <c r="M96" i="70"/>
  <c r="M97" i="70"/>
  <c r="M98" i="70"/>
  <c r="M99" i="70"/>
  <c r="M100" i="70"/>
  <c r="M101" i="70"/>
  <c r="M102" i="70"/>
  <c r="M103" i="70"/>
  <c r="M104" i="70"/>
  <c r="O6" i="70"/>
  <c r="O7" i="70"/>
  <c r="O8" i="70"/>
  <c r="O9" i="70"/>
  <c r="O10" i="70"/>
  <c r="O11" i="70"/>
  <c r="O12" i="70"/>
  <c r="O13" i="70"/>
  <c r="O14" i="70"/>
  <c r="O15" i="70"/>
  <c r="O16" i="70"/>
  <c r="O17" i="70"/>
  <c r="O18" i="70"/>
  <c r="O19" i="70"/>
  <c r="O20" i="70"/>
  <c r="O21" i="70"/>
  <c r="O22" i="70"/>
  <c r="O23" i="70"/>
  <c r="O24" i="70"/>
  <c r="O25" i="70"/>
  <c r="O26" i="70"/>
  <c r="O27" i="70"/>
  <c r="O28" i="70"/>
  <c r="O29" i="70"/>
  <c r="O30" i="70"/>
  <c r="O31" i="70"/>
  <c r="O32" i="70"/>
  <c r="O33" i="70"/>
  <c r="O34" i="70"/>
  <c r="O35" i="70"/>
  <c r="O36" i="70"/>
  <c r="O37" i="70"/>
  <c r="O38" i="70"/>
  <c r="O39" i="70"/>
  <c r="O40" i="70"/>
  <c r="O41" i="70"/>
  <c r="O42" i="70"/>
  <c r="O43" i="70"/>
  <c r="O44" i="70"/>
  <c r="O45" i="70"/>
  <c r="O46" i="70"/>
  <c r="O47" i="70"/>
  <c r="O48" i="70"/>
  <c r="O49" i="70"/>
  <c r="O50" i="70"/>
  <c r="O51" i="70"/>
  <c r="O52" i="70"/>
  <c r="O53" i="70"/>
  <c r="O54" i="70"/>
  <c r="O55" i="70"/>
  <c r="O56" i="70"/>
  <c r="O57" i="70"/>
  <c r="O58" i="70"/>
  <c r="O59" i="70"/>
  <c r="O60" i="70"/>
  <c r="O61" i="70"/>
  <c r="O62" i="70"/>
  <c r="O63" i="70"/>
  <c r="O64" i="70"/>
  <c r="O65" i="70"/>
  <c r="O66" i="70"/>
  <c r="O67" i="70"/>
  <c r="O68" i="70"/>
  <c r="O69" i="70"/>
  <c r="O70" i="70"/>
  <c r="O71" i="70"/>
  <c r="O72" i="70"/>
  <c r="O73" i="70"/>
  <c r="O74" i="70"/>
  <c r="O75" i="70"/>
  <c r="O76" i="70"/>
  <c r="O77" i="70"/>
  <c r="O78" i="70"/>
  <c r="O79" i="70"/>
  <c r="O80" i="70"/>
  <c r="O81" i="70"/>
  <c r="O82" i="70"/>
  <c r="O83" i="70"/>
  <c r="O84" i="70"/>
  <c r="O85" i="70"/>
  <c r="O86" i="70"/>
  <c r="O87" i="70"/>
  <c r="O88" i="70"/>
  <c r="O89" i="70"/>
  <c r="O90" i="70"/>
  <c r="O91" i="70"/>
  <c r="O92" i="70"/>
  <c r="O93" i="70"/>
  <c r="O94" i="70"/>
  <c r="O95" i="70"/>
  <c r="O96" i="70"/>
  <c r="O97" i="70"/>
  <c r="O98" i="70"/>
  <c r="O99" i="70"/>
  <c r="O100" i="70"/>
  <c r="O101" i="70"/>
  <c r="O102" i="70"/>
  <c r="O103" i="70"/>
  <c r="O104" i="70"/>
  <c r="AD6" i="67"/>
  <c r="AE6" i="67"/>
  <c r="AF6" i="67"/>
  <c r="AG6" i="67"/>
  <c r="AH6" i="67"/>
  <c r="AI6" i="67"/>
  <c r="AJ6" i="67"/>
  <c r="AK6" i="67"/>
  <c r="AL6" i="67"/>
  <c r="AM6" i="67"/>
  <c r="AN6" i="67"/>
  <c r="AO6" i="67"/>
  <c r="AP6" i="67" s="1"/>
  <c r="AQ6" i="67"/>
  <c r="AR6" i="67"/>
  <c r="AS6" i="67"/>
  <c r="AT6" i="67"/>
  <c r="AV6" i="67"/>
  <c r="AW6" i="67"/>
  <c r="AX6" i="67"/>
  <c r="AY6" i="67"/>
  <c r="BA6" i="67"/>
  <c r="AD7" i="67"/>
  <c r="AE7" i="67"/>
  <c r="AF7" i="67"/>
  <c r="AG7" i="67"/>
  <c r="AH7" i="67"/>
  <c r="AI7" i="67"/>
  <c r="AJ7" i="67"/>
  <c r="AK7" i="67"/>
  <c r="AL7" i="67"/>
  <c r="AM7" i="67"/>
  <c r="AN7" i="67"/>
  <c r="AO7" i="67"/>
  <c r="AP7" i="67" s="1"/>
  <c r="AQ7" i="67"/>
  <c r="AR7" i="67"/>
  <c r="AS7" i="67"/>
  <c r="AT7" i="67"/>
  <c r="AV7" i="67"/>
  <c r="AW7" i="67"/>
  <c r="AX7" i="67"/>
  <c r="AY7" i="67"/>
  <c r="BA7" i="67"/>
  <c r="AD8" i="67"/>
  <c r="AE8" i="67"/>
  <c r="AF8" i="67"/>
  <c r="AG8" i="67"/>
  <c r="AH8" i="67"/>
  <c r="AI8" i="67"/>
  <c r="AJ8" i="67"/>
  <c r="AK8" i="67"/>
  <c r="AL8" i="67"/>
  <c r="AM8" i="67"/>
  <c r="AN8" i="67"/>
  <c r="AO8" i="67"/>
  <c r="AP8" i="67" s="1"/>
  <c r="AQ8" i="67"/>
  <c r="AR8" i="67"/>
  <c r="AS8" i="67"/>
  <c r="AT8" i="67"/>
  <c r="AV8" i="67"/>
  <c r="AW8" i="67"/>
  <c r="AX8" i="67"/>
  <c r="AY8" i="67"/>
  <c r="AZ8" i="67" s="1"/>
  <c r="BA8" i="67"/>
  <c r="AD9" i="67"/>
  <c r="AE9" i="67"/>
  <c r="AF9" i="67"/>
  <c r="AG9" i="67"/>
  <c r="AH9" i="67"/>
  <c r="AI9" i="67"/>
  <c r="AJ9" i="67"/>
  <c r="AK9" i="67"/>
  <c r="AL9" i="67"/>
  <c r="AM9" i="67"/>
  <c r="AN9" i="67"/>
  <c r="AO9" i="67"/>
  <c r="AQ9" i="67"/>
  <c r="AR9" i="67"/>
  <c r="AS9" i="67"/>
  <c r="AU9" i="67" s="1"/>
  <c r="AT9" i="67"/>
  <c r="AV9" i="67"/>
  <c r="AW9" i="67"/>
  <c r="AX9" i="67"/>
  <c r="AY9" i="67"/>
  <c r="BA9" i="67"/>
  <c r="AD10" i="67"/>
  <c r="AE10" i="67"/>
  <c r="AF10" i="67"/>
  <c r="AG10" i="67"/>
  <c r="AH10" i="67"/>
  <c r="AI10" i="67"/>
  <c r="AJ10" i="67"/>
  <c r="AK10" i="67"/>
  <c r="AL10" i="67"/>
  <c r="AM10" i="67"/>
  <c r="AN10" i="67"/>
  <c r="AO10" i="67"/>
  <c r="AQ10" i="67"/>
  <c r="AR10" i="67"/>
  <c r="AS10" i="67"/>
  <c r="AT10" i="67"/>
  <c r="AU10" i="67" s="1"/>
  <c r="AV10" i="67"/>
  <c r="AW10" i="67"/>
  <c r="AX10" i="67"/>
  <c r="AY10" i="67"/>
  <c r="BA10" i="67"/>
  <c r="AD11" i="67"/>
  <c r="AE11" i="67"/>
  <c r="AF11" i="67"/>
  <c r="AG11" i="67"/>
  <c r="AH11" i="67"/>
  <c r="AI11" i="67"/>
  <c r="AJ11" i="67"/>
  <c r="AK11" i="67"/>
  <c r="AL11" i="67"/>
  <c r="AM11" i="67"/>
  <c r="AN11" i="67"/>
  <c r="AO11" i="67"/>
  <c r="AQ11" i="67"/>
  <c r="AR11" i="67"/>
  <c r="AS11" i="67"/>
  <c r="AT11" i="67"/>
  <c r="AV11" i="67"/>
  <c r="AW11" i="67"/>
  <c r="AX11" i="67"/>
  <c r="AZ11" i="67" s="1"/>
  <c r="AY11" i="67"/>
  <c r="BA11" i="67"/>
  <c r="AD12" i="67"/>
  <c r="AE12" i="67"/>
  <c r="AF12" i="67"/>
  <c r="AG12" i="67"/>
  <c r="AH12" i="67"/>
  <c r="AI12" i="67"/>
  <c r="AJ12" i="67"/>
  <c r="AK12" i="67"/>
  <c r="AL12" i="67"/>
  <c r="AM12" i="67"/>
  <c r="AN12" i="67"/>
  <c r="AO12" i="67"/>
  <c r="AQ12" i="67"/>
  <c r="AR12" i="67"/>
  <c r="AS12" i="67"/>
  <c r="AU12" i="67" s="1"/>
  <c r="AT12" i="67"/>
  <c r="AV12" i="67"/>
  <c r="AW12" i="67"/>
  <c r="AX12" i="67"/>
  <c r="AY12" i="67"/>
  <c r="BA12" i="67"/>
  <c r="AD13" i="67"/>
  <c r="AE13" i="67"/>
  <c r="AF13" i="67"/>
  <c r="AG13" i="67"/>
  <c r="AH13" i="67"/>
  <c r="AI13" i="67"/>
  <c r="AJ13" i="67"/>
  <c r="AK13" i="67"/>
  <c r="AL13" i="67"/>
  <c r="AM13" i="67"/>
  <c r="AN13" i="67"/>
  <c r="AO13" i="67"/>
  <c r="AQ13" i="67"/>
  <c r="AR13" i="67"/>
  <c r="AS13" i="67"/>
  <c r="AT13" i="67"/>
  <c r="AV13" i="67"/>
  <c r="AW13" i="67"/>
  <c r="AX13" i="67"/>
  <c r="AY13" i="67"/>
  <c r="BA13" i="67"/>
  <c r="AD14" i="67"/>
  <c r="AE14" i="67"/>
  <c r="AF14" i="67"/>
  <c r="AG14" i="67"/>
  <c r="AH14" i="67"/>
  <c r="AI14" i="67"/>
  <c r="AJ14" i="67"/>
  <c r="AK14" i="67"/>
  <c r="AL14" i="67"/>
  <c r="AM14" i="67"/>
  <c r="AN14" i="67"/>
  <c r="AO14" i="67"/>
  <c r="AQ14" i="67"/>
  <c r="AR14" i="67"/>
  <c r="AS14" i="67"/>
  <c r="AT14" i="67"/>
  <c r="AV14" i="67"/>
  <c r="AW14" i="67"/>
  <c r="AX14" i="67"/>
  <c r="AY14" i="67"/>
  <c r="BA14" i="67"/>
  <c r="AD15" i="67"/>
  <c r="AE15" i="67"/>
  <c r="AF15" i="67"/>
  <c r="AG15" i="67"/>
  <c r="AH15" i="67"/>
  <c r="AI15" i="67"/>
  <c r="AJ15" i="67"/>
  <c r="AK15" i="67"/>
  <c r="AL15" i="67"/>
  <c r="AM15" i="67"/>
  <c r="AN15" i="67"/>
  <c r="AO15" i="67"/>
  <c r="AP15" i="67"/>
  <c r="AQ15" i="67"/>
  <c r="AR15" i="67"/>
  <c r="AS15" i="67"/>
  <c r="AT15" i="67"/>
  <c r="AV15" i="67"/>
  <c r="AW15" i="67"/>
  <c r="AX15" i="67"/>
  <c r="AY15" i="67"/>
  <c r="BA15" i="67"/>
  <c r="AD16" i="67"/>
  <c r="AE16" i="67"/>
  <c r="AF16" i="67"/>
  <c r="AG16" i="67"/>
  <c r="AH16" i="67"/>
  <c r="AI16" i="67"/>
  <c r="AJ16" i="67"/>
  <c r="AK16" i="67"/>
  <c r="AL16" i="67"/>
  <c r="AM16" i="67"/>
  <c r="AN16" i="67"/>
  <c r="AO16" i="67"/>
  <c r="AQ16" i="67"/>
  <c r="AR16" i="67"/>
  <c r="AS16" i="67"/>
  <c r="AT16" i="67"/>
  <c r="AV16" i="67"/>
  <c r="AW16" i="67"/>
  <c r="AX16" i="67"/>
  <c r="AY16" i="67"/>
  <c r="BA16" i="67"/>
  <c r="BH16" i="67"/>
  <c r="AD17" i="67"/>
  <c r="AE17" i="67"/>
  <c r="AF17" i="67"/>
  <c r="AG17" i="67"/>
  <c r="AH17" i="67"/>
  <c r="AI17" i="67"/>
  <c r="AJ17" i="67"/>
  <c r="AK17" i="67"/>
  <c r="AL17" i="67"/>
  <c r="AM17" i="67"/>
  <c r="AN17" i="67"/>
  <c r="AP17" i="67" s="1"/>
  <c r="AO17" i="67"/>
  <c r="AQ17" i="67"/>
  <c r="AR17" i="67"/>
  <c r="AS17" i="67"/>
  <c r="AT17" i="67"/>
  <c r="AV17" i="67"/>
  <c r="AW17" i="67"/>
  <c r="AX17" i="67"/>
  <c r="AZ17" i="67" s="1"/>
  <c r="AY17" i="67"/>
  <c r="BA17" i="67"/>
  <c r="AD18" i="67"/>
  <c r="AE18" i="67"/>
  <c r="AF18" i="67"/>
  <c r="AG18" i="67"/>
  <c r="AH18" i="67"/>
  <c r="AI18" i="67"/>
  <c r="AJ18" i="67"/>
  <c r="AK18" i="67"/>
  <c r="AL18" i="67"/>
  <c r="AM18" i="67"/>
  <c r="AN18" i="67"/>
  <c r="AP18" i="67" s="1"/>
  <c r="AO18" i="67"/>
  <c r="AQ18" i="67"/>
  <c r="AR18" i="67"/>
  <c r="AS18" i="67"/>
  <c r="AT18" i="67"/>
  <c r="AV18" i="67"/>
  <c r="AW18" i="67"/>
  <c r="AX18" i="67"/>
  <c r="AZ18" i="67" s="1"/>
  <c r="AY18" i="67"/>
  <c r="BA18" i="67"/>
  <c r="AD19" i="67"/>
  <c r="AE19" i="67"/>
  <c r="AF19" i="67"/>
  <c r="AG19" i="67"/>
  <c r="AH19" i="67"/>
  <c r="AI19" i="67"/>
  <c r="AJ19" i="67"/>
  <c r="AK19" i="67"/>
  <c r="AL19" i="67"/>
  <c r="AM19" i="67"/>
  <c r="AN19" i="67"/>
  <c r="AO19" i="67"/>
  <c r="AQ19" i="67"/>
  <c r="AR19" i="67"/>
  <c r="AS19" i="67"/>
  <c r="AT19" i="67"/>
  <c r="AV19" i="67"/>
  <c r="AW19" i="67"/>
  <c r="AX19" i="67"/>
  <c r="AY19" i="67"/>
  <c r="BA19" i="67"/>
  <c r="AD20" i="67"/>
  <c r="AE20" i="67"/>
  <c r="AF20" i="67"/>
  <c r="AG20" i="67"/>
  <c r="AH20" i="67"/>
  <c r="AI20" i="67"/>
  <c r="AJ20" i="67"/>
  <c r="AK20" i="67"/>
  <c r="AL20" i="67"/>
  <c r="AM20" i="67"/>
  <c r="AN20" i="67"/>
  <c r="AP20" i="67" s="1"/>
  <c r="AO20" i="67"/>
  <c r="AQ20" i="67"/>
  <c r="AR20" i="67"/>
  <c r="AS20" i="67"/>
  <c r="AT20" i="67"/>
  <c r="AU20" i="67" s="1"/>
  <c r="AV20" i="67"/>
  <c r="AW20" i="67"/>
  <c r="AX20" i="67"/>
  <c r="AY20" i="67"/>
  <c r="BA20" i="67"/>
  <c r="AD21" i="67"/>
  <c r="AE21" i="67"/>
  <c r="AF21" i="67"/>
  <c r="AG21" i="67"/>
  <c r="AH21" i="67"/>
  <c r="AI21" i="67"/>
  <c r="AJ21" i="67"/>
  <c r="AK21" i="67"/>
  <c r="AL21" i="67"/>
  <c r="AM21" i="67"/>
  <c r="AN21" i="67"/>
  <c r="AO21" i="67"/>
  <c r="AQ21" i="67"/>
  <c r="AR21" i="67"/>
  <c r="AS21" i="67"/>
  <c r="AT21" i="67"/>
  <c r="AV21" i="67"/>
  <c r="AW21" i="67"/>
  <c r="AX21" i="67"/>
  <c r="AY21" i="67"/>
  <c r="BA21" i="67"/>
  <c r="AD22" i="67"/>
  <c r="AE22" i="67"/>
  <c r="AF22" i="67"/>
  <c r="AG22" i="67"/>
  <c r="AH22" i="67"/>
  <c r="AI22" i="67"/>
  <c r="AJ22" i="67"/>
  <c r="AK22" i="67"/>
  <c r="AL22" i="67"/>
  <c r="AM22" i="67"/>
  <c r="AN22" i="67"/>
  <c r="AO22" i="67"/>
  <c r="AQ22" i="67"/>
  <c r="AR22" i="67"/>
  <c r="AS22" i="67"/>
  <c r="AT22" i="67"/>
  <c r="AV22" i="67"/>
  <c r="AW22" i="67"/>
  <c r="AX22" i="67"/>
  <c r="AY22" i="67"/>
  <c r="BA22" i="67"/>
  <c r="BH22" i="67"/>
  <c r="AD23" i="67"/>
  <c r="AE23" i="67"/>
  <c r="AF23" i="67"/>
  <c r="AG23" i="67"/>
  <c r="AH23" i="67"/>
  <c r="AI23" i="67"/>
  <c r="AJ23" i="67"/>
  <c r="AK23" i="67"/>
  <c r="AL23" i="67"/>
  <c r="AM23" i="67"/>
  <c r="AN23" i="67"/>
  <c r="AO23" i="67"/>
  <c r="AQ23" i="67"/>
  <c r="AR23" i="67"/>
  <c r="AS23" i="67"/>
  <c r="AT23" i="67"/>
  <c r="AV23" i="67"/>
  <c r="AW23" i="67"/>
  <c r="AX23" i="67"/>
  <c r="AY23" i="67"/>
  <c r="BA23" i="67"/>
  <c r="BH23" i="67"/>
  <c r="AD24" i="67"/>
  <c r="AE24" i="67"/>
  <c r="AF24" i="67"/>
  <c r="AG24" i="67"/>
  <c r="AH24" i="67"/>
  <c r="AI24" i="67"/>
  <c r="AJ24" i="67"/>
  <c r="AK24" i="67"/>
  <c r="AL24" i="67"/>
  <c r="AM24" i="67"/>
  <c r="AN24" i="67"/>
  <c r="AO24" i="67"/>
  <c r="AQ24" i="67"/>
  <c r="AR24" i="67"/>
  <c r="AS24" i="67"/>
  <c r="AT24" i="67"/>
  <c r="AV24" i="67"/>
  <c r="AW24" i="67"/>
  <c r="AX24" i="67"/>
  <c r="AY24" i="67"/>
  <c r="AZ24" i="67" s="1"/>
  <c r="BA24" i="67"/>
  <c r="AD25" i="67"/>
  <c r="AE25" i="67"/>
  <c r="AF25" i="67"/>
  <c r="AG25" i="67"/>
  <c r="AH25" i="67"/>
  <c r="AI25" i="67"/>
  <c r="AJ25" i="67"/>
  <c r="AK25" i="67"/>
  <c r="AL25" i="67"/>
  <c r="AM25" i="67"/>
  <c r="AN25" i="67"/>
  <c r="AO25" i="67"/>
  <c r="AQ25" i="67"/>
  <c r="AR25" i="67"/>
  <c r="AS25" i="67"/>
  <c r="AT25" i="67"/>
  <c r="AU25" i="67" s="1"/>
  <c r="AV25" i="67"/>
  <c r="AW25" i="67"/>
  <c r="AX25" i="67"/>
  <c r="AZ25" i="67" s="1"/>
  <c r="AY25" i="67"/>
  <c r="BA25" i="67"/>
  <c r="AD26" i="67"/>
  <c r="AE26" i="67"/>
  <c r="AF26" i="67"/>
  <c r="AG26" i="67"/>
  <c r="AH26" i="67"/>
  <c r="AI26" i="67"/>
  <c r="AJ26" i="67"/>
  <c r="AK26" i="67"/>
  <c r="AL26" i="67"/>
  <c r="AM26" i="67"/>
  <c r="AN26" i="67"/>
  <c r="AO26" i="67"/>
  <c r="AQ26" i="67"/>
  <c r="AR26" i="67"/>
  <c r="AS26" i="67"/>
  <c r="AT26" i="67"/>
  <c r="AV26" i="67"/>
  <c r="AW26" i="67"/>
  <c r="AX26" i="67"/>
  <c r="AY26" i="67"/>
  <c r="BA26" i="67"/>
  <c r="AD27" i="67"/>
  <c r="AE27" i="67"/>
  <c r="AF27" i="67"/>
  <c r="AG27" i="67"/>
  <c r="AH27" i="67"/>
  <c r="AI27" i="67"/>
  <c r="AJ27" i="67"/>
  <c r="AK27" i="67"/>
  <c r="AL27" i="67"/>
  <c r="AM27" i="67"/>
  <c r="AN27" i="67"/>
  <c r="AO27" i="67"/>
  <c r="AQ27" i="67"/>
  <c r="AR27" i="67"/>
  <c r="AS27" i="67"/>
  <c r="AT27" i="67"/>
  <c r="AV27" i="67"/>
  <c r="AW27" i="67"/>
  <c r="AX27" i="67"/>
  <c r="AY27" i="67"/>
  <c r="BA27" i="67"/>
  <c r="AD28" i="67"/>
  <c r="AE28" i="67"/>
  <c r="AF28" i="67"/>
  <c r="AG28" i="67"/>
  <c r="AH28" i="67"/>
  <c r="AI28" i="67"/>
  <c r="AJ28" i="67"/>
  <c r="AK28" i="67"/>
  <c r="AL28" i="67"/>
  <c r="AM28" i="67"/>
  <c r="AN28" i="67"/>
  <c r="AO28" i="67"/>
  <c r="AP28" i="67" s="1"/>
  <c r="AQ28" i="67"/>
  <c r="AR28" i="67"/>
  <c r="AS28" i="67"/>
  <c r="AT28" i="67"/>
  <c r="AU28" i="67"/>
  <c r="AV28" i="67"/>
  <c r="AW28" i="67"/>
  <c r="AX28" i="67"/>
  <c r="AY28" i="67"/>
  <c r="BA28" i="67"/>
  <c r="AD29" i="67"/>
  <c r="AE29" i="67"/>
  <c r="AF29" i="67"/>
  <c r="AG29" i="67"/>
  <c r="AH29" i="67"/>
  <c r="AI29" i="67"/>
  <c r="AJ29" i="67"/>
  <c r="AK29" i="67"/>
  <c r="AL29" i="67"/>
  <c r="AM29" i="67"/>
  <c r="AN29" i="67"/>
  <c r="AO29" i="67"/>
  <c r="AQ29" i="67"/>
  <c r="AR29" i="67"/>
  <c r="AS29" i="67"/>
  <c r="AT29" i="67"/>
  <c r="AV29" i="67"/>
  <c r="AW29" i="67"/>
  <c r="AX29" i="67"/>
  <c r="AY29" i="67"/>
  <c r="BA29" i="67"/>
  <c r="AD30" i="67"/>
  <c r="AE30" i="67"/>
  <c r="AF30" i="67"/>
  <c r="AG30" i="67"/>
  <c r="AH30" i="67"/>
  <c r="AI30" i="67"/>
  <c r="AJ30" i="67"/>
  <c r="AK30" i="67"/>
  <c r="AL30" i="67"/>
  <c r="AM30" i="67"/>
  <c r="AN30" i="67"/>
  <c r="AO30" i="67"/>
  <c r="AP30" i="67" s="1"/>
  <c r="AQ30" i="67"/>
  <c r="AR30" i="67"/>
  <c r="AS30" i="67"/>
  <c r="AT30" i="67"/>
  <c r="AV30" i="67"/>
  <c r="AW30" i="67"/>
  <c r="AX30" i="67"/>
  <c r="AY30" i="67"/>
  <c r="BA30" i="67"/>
  <c r="AD31" i="67"/>
  <c r="AE31" i="67"/>
  <c r="AF31" i="67"/>
  <c r="AG31" i="67"/>
  <c r="AH31" i="67"/>
  <c r="AI31" i="67"/>
  <c r="AJ31" i="67"/>
  <c r="AK31" i="67"/>
  <c r="AL31" i="67"/>
  <c r="AM31" i="67"/>
  <c r="AN31" i="67"/>
  <c r="AO31" i="67"/>
  <c r="AP31" i="67"/>
  <c r="AQ31" i="67"/>
  <c r="AR31" i="67"/>
  <c r="AS31" i="67"/>
  <c r="AT31" i="67"/>
  <c r="AV31" i="67"/>
  <c r="AW31" i="67"/>
  <c r="AX31" i="67"/>
  <c r="AY31" i="67"/>
  <c r="BA31" i="67"/>
  <c r="AD32" i="67"/>
  <c r="AE32" i="67"/>
  <c r="AF32" i="67"/>
  <c r="AG32" i="67"/>
  <c r="AH32" i="67"/>
  <c r="AI32" i="67"/>
  <c r="AJ32" i="67"/>
  <c r="AK32" i="67"/>
  <c r="AL32" i="67"/>
  <c r="AM32" i="67"/>
  <c r="AN32" i="67"/>
  <c r="AO32" i="67"/>
  <c r="AP32" i="67"/>
  <c r="AQ32" i="67"/>
  <c r="AR32" i="67"/>
  <c r="AS32" i="67"/>
  <c r="AT32" i="67"/>
  <c r="AV32" i="67"/>
  <c r="AW32" i="67"/>
  <c r="AX32" i="67"/>
  <c r="AY32" i="67"/>
  <c r="AZ32" i="67" s="1"/>
  <c r="BA32" i="67"/>
  <c r="AD33" i="67"/>
  <c r="AE33" i="67"/>
  <c r="AF33" i="67"/>
  <c r="AG33" i="67"/>
  <c r="AH33" i="67"/>
  <c r="AI33" i="67"/>
  <c r="AJ33" i="67"/>
  <c r="AK33" i="67"/>
  <c r="AL33" i="67"/>
  <c r="AM33" i="67"/>
  <c r="AN33" i="67"/>
  <c r="AO33" i="67"/>
  <c r="AQ33" i="67"/>
  <c r="AR33" i="67"/>
  <c r="AS33" i="67"/>
  <c r="AT33" i="67"/>
  <c r="AV33" i="67"/>
  <c r="AW33" i="67"/>
  <c r="AX33" i="67"/>
  <c r="AY33" i="67"/>
  <c r="AZ33" i="67"/>
  <c r="BA33" i="67"/>
  <c r="BH33" i="67"/>
  <c r="AD34" i="67"/>
  <c r="AE34" i="67"/>
  <c r="AF34" i="67"/>
  <c r="AG34" i="67"/>
  <c r="AH34" i="67"/>
  <c r="AI34" i="67"/>
  <c r="AJ34" i="67"/>
  <c r="AK34" i="67"/>
  <c r="AL34" i="67"/>
  <c r="AM34" i="67"/>
  <c r="AN34" i="67"/>
  <c r="AO34" i="67"/>
  <c r="AQ34" i="67"/>
  <c r="AR34" i="67"/>
  <c r="AS34" i="67"/>
  <c r="AT34" i="67"/>
  <c r="AV34" i="67"/>
  <c r="AW34" i="67"/>
  <c r="AX34" i="67"/>
  <c r="AY34" i="67"/>
  <c r="BA34" i="67"/>
  <c r="AD35" i="67"/>
  <c r="AE35" i="67"/>
  <c r="AF35" i="67"/>
  <c r="AG35" i="67"/>
  <c r="AH35" i="67"/>
  <c r="AI35" i="67"/>
  <c r="AJ35" i="67"/>
  <c r="AK35" i="67"/>
  <c r="AL35" i="67"/>
  <c r="AM35" i="67"/>
  <c r="AN35" i="67"/>
  <c r="AO35" i="67"/>
  <c r="AQ35" i="67"/>
  <c r="AR35" i="67"/>
  <c r="AS35" i="67"/>
  <c r="AT35" i="67"/>
  <c r="AV35" i="67"/>
  <c r="AW35" i="67"/>
  <c r="AX35" i="67"/>
  <c r="AY35" i="67"/>
  <c r="BA35" i="67"/>
  <c r="AD36" i="67"/>
  <c r="AE36" i="67"/>
  <c r="AF36" i="67"/>
  <c r="AG36" i="67"/>
  <c r="AH36" i="67"/>
  <c r="AI36" i="67"/>
  <c r="AJ36" i="67"/>
  <c r="AK36" i="67"/>
  <c r="AL36" i="67"/>
  <c r="AM36" i="67"/>
  <c r="AN36" i="67"/>
  <c r="AO36" i="67"/>
  <c r="AQ36" i="67"/>
  <c r="AR36" i="67"/>
  <c r="AS36" i="67"/>
  <c r="AT36" i="67"/>
  <c r="AU36" i="67" s="1"/>
  <c r="AV36" i="67"/>
  <c r="AW36" i="67"/>
  <c r="AX36" i="67"/>
  <c r="AY36" i="67"/>
  <c r="BA36" i="67"/>
  <c r="AD37" i="67"/>
  <c r="AE37" i="67"/>
  <c r="AF37" i="67"/>
  <c r="AG37" i="67"/>
  <c r="AH37" i="67"/>
  <c r="AI37" i="67"/>
  <c r="AJ37" i="67"/>
  <c r="AK37" i="67"/>
  <c r="AL37" i="67"/>
  <c r="AM37" i="67"/>
  <c r="AN37" i="67"/>
  <c r="AO37" i="67"/>
  <c r="AP37" i="67"/>
  <c r="AQ37" i="67"/>
  <c r="AR37" i="67"/>
  <c r="AS37" i="67"/>
  <c r="AU37" i="67" s="1"/>
  <c r="AT37" i="67"/>
  <c r="AV37" i="67"/>
  <c r="AW37" i="67"/>
  <c r="AX37" i="67"/>
  <c r="AY37" i="67"/>
  <c r="BA37" i="67"/>
  <c r="AD38" i="67"/>
  <c r="AE38" i="67"/>
  <c r="AF38" i="67"/>
  <c r="AG38" i="67"/>
  <c r="AH38" i="67"/>
  <c r="AI38" i="67"/>
  <c r="AJ38" i="67"/>
  <c r="AK38" i="67"/>
  <c r="AL38" i="67"/>
  <c r="AM38" i="67"/>
  <c r="AN38" i="67"/>
  <c r="AO38" i="67"/>
  <c r="AQ38" i="67"/>
  <c r="AR38" i="67"/>
  <c r="AS38" i="67"/>
  <c r="AT38" i="67"/>
  <c r="AV38" i="67"/>
  <c r="AW38" i="67"/>
  <c r="AX38" i="67"/>
  <c r="AY38" i="67"/>
  <c r="BA38" i="67"/>
  <c r="BH38" i="67"/>
  <c r="AD39" i="67"/>
  <c r="AE39" i="67"/>
  <c r="AF39" i="67"/>
  <c r="AG39" i="67"/>
  <c r="AH39" i="67"/>
  <c r="AI39" i="67"/>
  <c r="AJ39" i="67"/>
  <c r="AK39" i="67"/>
  <c r="AL39" i="67"/>
  <c r="AM39" i="67"/>
  <c r="AN39" i="67"/>
  <c r="AO39" i="67"/>
  <c r="AP39" i="67"/>
  <c r="AQ39" i="67"/>
  <c r="AR39" i="67"/>
  <c r="AS39" i="67"/>
  <c r="AT39" i="67"/>
  <c r="AV39" i="67"/>
  <c r="AW39" i="67"/>
  <c r="AX39" i="67"/>
  <c r="AY39" i="67"/>
  <c r="AZ39" i="67"/>
  <c r="BA39" i="67"/>
  <c r="AD40" i="67"/>
  <c r="AE40" i="67"/>
  <c r="AF40" i="67"/>
  <c r="AG40" i="67"/>
  <c r="AH40" i="67"/>
  <c r="AI40" i="67"/>
  <c r="AJ40" i="67"/>
  <c r="AK40" i="67"/>
  <c r="AL40" i="67"/>
  <c r="AM40" i="67"/>
  <c r="AN40" i="67"/>
  <c r="AP40" i="67" s="1"/>
  <c r="AO40" i="67"/>
  <c r="AQ40" i="67"/>
  <c r="AR40" i="67"/>
  <c r="AS40" i="67"/>
  <c r="AT40" i="67"/>
  <c r="AV40" i="67"/>
  <c r="AW40" i="67"/>
  <c r="AX40" i="67"/>
  <c r="AY40" i="67"/>
  <c r="BA40" i="67"/>
  <c r="AD41" i="67"/>
  <c r="AE41" i="67"/>
  <c r="AF41" i="67"/>
  <c r="AG41" i="67"/>
  <c r="AH41" i="67"/>
  <c r="AI41" i="67"/>
  <c r="AJ41" i="67"/>
  <c r="AK41" i="67"/>
  <c r="AL41" i="67"/>
  <c r="AM41" i="67"/>
  <c r="AN41" i="67"/>
  <c r="AO41" i="67"/>
  <c r="AQ41" i="67"/>
  <c r="AR41" i="67"/>
  <c r="AS41" i="67"/>
  <c r="AT41" i="67"/>
  <c r="AV41" i="67"/>
  <c r="AW41" i="67"/>
  <c r="AX41" i="67"/>
  <c r="AY41" i="67"/>
  <c r="BA41" i="67"/>
  <c r="AD42" i="67"/>
  <c r="AE42" i="67"/>
  <c r="AF42" i="67"/>
  <c r="AG42" i="67"/>
  <c r="AH42" i="67"/>
  <c r="AI42" i="67"/>
  <c r="AJ42" i="67"/>
  <c r="AK42" i="67"/>
  <c r="AL42" i="67"/>
  <c r="AM42" i="67"/>
  <c r="AN42" i="67"/>
  <c r="AO42" i="67"/>
  <c r="AQ42" i="67"/>
  <c r="AR42" i="67"/>
  <c r="AS42" i="67"/>
  <c r="AT42" i="67"/>
  <c r="AU42" i="67" s="1"/>
  <c r="AV42" i="67"/>
  <c r="AW42" i="67"/>
  <c r="AX42" i="67"/>
  <c r="AY42" i="67"/>
  <c r="BA42" i="67"/>
  <c r="AD43" i="67"/>
  <c r="AE43" i="67"/>
  <c r="BH43" i="67" s="1"/>
  <c r="AF43" i="67"/>
  <c r="AG43" i="67"/>
  <c r="AH43" i="67"/>
  <c r="AI43" i="67"/>
  <c r="AJ43" i="67"/>
  <c r="AK43" i="67"/>
  <c r="AL43" i="67"/>
  <c r="AM43" i="67"/>
  <c r="AN43" i="67"/>
  <c r="AO43" i="67"/>
  <c r="AP43" i="67"/>
  <c r="AQ43" i="67"/>
  <c r="AR43" i="67"/>
  <c r="AS43" i="67"/>
  <c r="AT43" i="67"/>
  <c r="AV43" i="67"/>
  <c r="AW43" i="67"/>
  <c r="AX43" i="67"/>
  <c r="AY43" i="67"/>
  <c r="BA43" i="67"/>
  <c r="AD44" i="67"/>
  <c r="AE44" i="67"/>
  <c r="AF44" i="67"/>
  <c r="AG44" i="67"/>
  <c r="AH44" i="67"/>
  <c r="AI44" i="67"/>
  <c r="AJ44" i="67"/>
  <c r="AK44" i="67"/>
  <c r="AL44" i="67"/>
  <c r="AM44" i="67"/>
  <c r="AN44" i="67"/>
  <c r="AO44" i="67"/>
  <c r="AQ44" i="67"/>
  <c r="AR44" i="67"/>
  <c r="AS44" i="67"/>
  <c r="AT44" i="67"/>
  <c r="AU44" i="67" s="1"/>
  <c r="AV44" i="67"/>
  <c r="AW44" i="67"/>
  <c r="AX44" i="67"/>
  <c r="AY44" i="67"/>
  <c r="AZ44" i="67" s="1"/>
  <c r="BA44" i="67"/>
  <c r="AD45" i="67"/>
  <c r="AE45" i="67"/>
  <c r="AF45" i="67"/>
  <c r="AG45" i="67"/>
  <c r="AH45" i="67"/>
  <c r="AI45" i="67"/>
  <c r="AJ45" i="67"/>
  <c r="AK45" i="67"/>
  <c r="AL45" i="67"/>
  <c r="AM45" i="67"/>
  <c r="AN45" i="67"/>
  <c r="AO45" i="67"/>
  <c r="AQ45" i="67"/>
  <c r="AR45" i="67"/>
  <c r="AS45" i="67"/>
  <c r="AU45" i="67" s="1"/>
  <c r="AT45" i="67"/>
  <c r="AV45" i="67"/>
  <c r="AW45" i="67"/>
  <c r="AX45" i="67"/>
  <c r="AY45" i="67"/>
  <c r="BA45" i="67"/>
  <c r="AD46" i="67"/>
  <c r="AE46" i="67"/>
  <c r="AF46" i="67"/>
  <c r="AG46" i="67"/>
  <c r="AH46" i="67"/>
  <c r="AI46" i="67"/>
  <c r="AJ46" i="67"/>
  <c r="AK46" i="67"/>
  <c r="AL46" i="67"/>
  <c r="AM46" i="67"/>
  <c r="AN46" i="67"/>
  <c r="AO46" i="67"/>
  <c r="AQ46" i="67"/>
  <c r="AR46" i="67"/>
  <c r="AS46" i="67"/>
  <c r="AT46" i="67"/>
  <c r="AV46" i="67"/>
  <c r="AW46" i="67"/>
  <c r="AX46" i="67"/>
  <c r="AY46" i="67"/>
  <c r="BA46" i="67"/>
  <c r="AD47" i="67"/>
  <c r="AE47" i="67"/>
  <c r="AF47" i="67"/>
  <c r="AG47" i="67"/>
  <c r="AH47" i="67"/>
  <c r="AI47" i="67"/>
  <c r="AJ47" i="67"/>
  <c r="AK47" i="67"/>
  <c r="AL47" i="67"/>
  <c r="AM47" i="67"/>
  <c r="AN47" i="67"/>
  <c r="AO47" i="67"/>
  <c r="AQ47" i="67"/>
  <c r="AR47" i="67"/>
  <c r="AS47" i="67"/>
  <c r="AT47" i="67"/>
  <c r="AV47" i="67"/>
  <c r="AW47" i="67"/>
  <c r="AX47" i="67"/>
  <c r="AY47" i="67"/>
  <c r="BA47" i="67"/>
  <c r="AD48" i="67"/>
  <c r="AE48" i="67"/>
  <c r="AF48" i="67"/>
  <c r="AG48" i="67"/>
  <c r="AH48" i="67"/>
  <c r="AI48" i="67"/>
  <c r="AJ48" i="67"/>
  <c r="AK48" i="67"/>
  <c r="AL48" i="67"/>
  <c r="AM48" i="67"/>
  <c r="AN48" i="67"/>
  <c r="AO48" i="67"/>
  <c r="AQ48" i="67"/>
  <c r="AR48" i="67"/>
  <c r="AS48" i="67"/>
  <c r="AT48" i="67"/>
  <c r="AV48" i="67"/>
  <c r="AW48" i="67"/>
  <c r="AX48" i="67"/>
  <c r="AY48" i="67"/>
  <c r="BA48" i="67"/>
  <c r="AD49" i="67"/>
  <c r="AE49" i="67"/>
  <c r="AF49" i="67"/>
  <c r="AG49" i="67"/>
  <c r="AH49" i="67"/>
  <c r="AI49" i="67"/>
  <c r="AJ49" i="67"/>
  <c r="AK49" i="67"/>
  <c r="AL49" i="67"/>
  <c r="AM49" i="67"/>
  <c r="AN49" i="67"/>
  <c r="AO49" i="67"/>
  <c r="AQ49" i="67"/>
  <c r="AR49" i="67"/>
  <c r="AS49" i="67"/>
  <c r="AT49" i="67"/>
  <c r="AV49" i="67"/>
  <c r="AW49" i="67"/>
  <c r="AX49" i="67"/>
  <c r="AY49" i="67"/>
  <c r="AZ49" i="67"/>
  <c r="BA49" i="67"/>
  <c r="AD50" i="67"/>
  <c r="AE50" i="67"/>
  <c r="AF50" i="67"/>
  <c r="AG50" i="67"/>
  <c r="AH50" i="67"/>
  <c r="AI50" i="67"/>
  <c r="AJ50" i="67"/>
  <c r="AK50" i="67"/>
  <c r="AL50" i="67"/>
  <c r="AM50" i="67"/>
  <c r="AN50" i="67"/>
  <c r="AO50" i="67"/>
  <c r="AQ50" i="67"/>
  <c r="AR50" i="67"/>
  <c r="AS50" i="67"/>
  <c r="AU50" i="67" s="1"/>
  <c r="AT50" i="67"/>
  <c r="AV50" i="67"/>
  <c r="AW50" i="67"/>
  <c r="AX50" i="67"/>
  <c r="AY50" i="67"/>
  <c r="BA50" i="67"/>
  <c r="AD51" i="67"/>
  <c r="AE51" i="67"/>
  <c r="AF51" i="67"/>
  <c r="AG51" i="67"/>
  <c r="AH51" i="67"/>
  <c r="AI51" i="67"/>
  <c r="AJ51" i="67"/>
  <c r="AK51" i="67"/>
  <c r="AL51" i="67"/>
  <c r="AM51" i="67"/>
  <c r="AN51" i="67"/>
  <c r="AO51" i="67"/>
  <c r="AQ51" i="67"/>
  <c r="AR51" i="67"/>
  <c r="AS51" i="67"/>
  <c r="AT51" i="67"/>
  <c r="AV51" i="67"/>
  <c r="AW51" i="67"/>
  <c r="AX51" i="67"/>
  <c r="AY51" i="67"/>
  <c r="BA51" i="67"/>
  <c r="BH51" i="67"/>
  <c r="AD52" i="67"/>
  <c r="AE52" i="67"/>
  <c r="AF52" i="67"/>
  <c r="AG52" i="67"/>
  <c r="AH52" i="67"/>
  <c r="AI52" i="67"/>
  <c r="AJ52" i="67"/>
  <c r="AK52" i="67"/>
  <c r="AL52" i="67"/>
  <c r="AM52" i="67"/>
  <c r="AN52" i="67"/>
  <c r="AO52" i="67"/>
  <c r="AP52" i="67" s="1"/>
  <c r="AQ52" i="67"/>
  <c r="AR52" i="67"/>
  <c r="AS52" i="67"/>
  <c r="AT52" i="67"/>
  <c r="AV52" i="67"/>
  <c r="AW52" i="67"/>
  <c r="AX52" i="67"/>
  <c r="AY52" i="67"/>
  <c r="BA52" i="67"/>
  <c r="AD53" i="67"/>
  <c r="AE53" i="67"/>
  <c r="AF53" i="67"/>
  <c r="AG53" i="67"/>
  <c r="AH53" i="67"/>
  <c r="AI53" i="67"/>
  <c r="AJ53" i="67"/>
  <c r="AK53" i="67"/>
  <c r="AL53" i="67"/>
  <c r="AM53" i="67"/>
  <c r="AN53" i="67"/>
  <c r="AO53" i="67"/>
  <c r="AQ53" i="67"/>
  <c r="AR53" i="67"/>
  <c r="AS53" i="67"/>
  <c r="AU53" i="67" s="1"/>
  <c r="AT53" i="67"/>
  <c r="AV53" i="67"/>
  <c r="AW53" i="67"/>
  <c r="AX53" i="67"/>
  <c r="AY53" i="67"/>
  <c r="BA53" i="67"/>
  <c r="AD54" i="67"/>
  <c r="AE54" i="67"/>
  <c r="AF54" i="67"/>
  <c r="AG54" i="67"/>
  <c r="AH54" i="67"/>
  <c r="AI54" i="67"/>
  <c r="AJ54" i="67"/>
  <c r="AK54" i="67"/>
  <c r="AL54" i="67"/>
  <c r="AM54" i="67"/>
  <c r="AN54" i="67"/>
  <c r="AO54" i="67"/>
  <c r="AQ54" i="67"/>
  <c r="AR54" i="67"/>
  <c r="AS54" i="67"/>
  <c r="AT54" i="67"/>
  <c r="AV54" i="67"/>
  <c r="AW54" i="67"/>
  <c r="AX54" i="67"/>
  <c r="AY54" i="67"/>
  <c r="BA54" i="67"/>
  <c r="AD55" i="67"/>
  <c r="AE55" i="67"/>
  <c r="AF55" i="67"/>
  <c r="AG55" i="67"/>
  <c r="AH55" i="67"/>
  <c r="AI55" i="67"/>
  <c r="AJ55" i="67"/>
  <c r="AK55" i="67"/>
  <c r="AL55" i="67"/>
  <c r="AM55" i="67"/>
  <c r="AN55" i="67"/>
  <c r="AP55" i="67" s="1"/>
  <c r="AO55" i="67"/>
  <c r="AQ55" i="67"/>
  <c r="AR55" i="67"/>
  <c r="AS55" i="67"/>
  <c r="AT55" i="67"/>
  <c r="AU55" i="67"/>
  <c r="AV55" i="67"/>
  <c r="AW55" i="67"/>
  <c r="AX55" i="67"/>
  <c r="AY55" i="67"/>
  <c r="BA55" i="67"/>
  <c r="AD56" i="67"/>
  <c r="AE56" i="67"/>
  <c r="AF56" i="67"/>
  <c r="AG56" i="67"/>
  <c r="AH56" i="67"/>
  <c r="AI56" i="67"/>
  <c r="AJ56" i="67"/>
  <c r="AK56" i="67"/>
  <c r="AL56" i="67"/>
  <c r="AM56" i="67"/>
  <c r="AN56" i="67"/>
  <c r="AO56" i="67"/>
  <c r="AP56" i="67" s="1"/>
  <c r="AQ56" i="67"/>
  <c r="AR56" i="67"/>
  <c r="AS56" i="67"/>
  <c r="AT56" i="67"/>
  <c r="AV56" i="67"/>
  <c r="AW56" i="67"/>
  <c r="AX56" i="67"/>
  <c r="AY56" i="67"/>
  <c r="BA56" i="67"/>
  <c r="AD57" i="67"/>
  <c r="AE57" i="67"/>
  <c r="AF57" i="67"/>
  <c r="AG57" i="67"/>
  <c r="AH57" i="67"/>
  <c r="AI57" i="67"/>
  <c r="AJ57" i="67"/>
  <c r="AK57" i="67"/>
  <c r="AL57" i="67"/>
  <c r="AM57" i="67"/>
  <c r="AN57" i="67"/>
  <c r="AO57" i="67"/>
  <c r="AQ57" i="67"/>
  <c r="AR57" i="67"/>
  <c r="AS57" i="67"/>
  <c r="AT57" i="67"/>
  <c r="AV57" i="67"/>
  <c r="AW57" i="67"/>
  <c r="AX57" i="67"/>
  <c r="AY57" i="67"/>
  <c r="BA57" i="67"/>
  <c r="AD58" i="67"/>
  <c r="AE58" i="67"/>
  <c r="AF58" i="67"/>
  <c r="AG58" i="67"/>
  <c r="AH58" i="67"/>
  <c r="AI58" i="67"/>
  <c r="AJ58" i="67"/>
  <c r="AK58" i="67"/>
  <c r="AL58" i="67"/>
  <c r="AM58" i="67"/>
  <c r="AN58" i="67"/>
  <c r="AO58" i="67"/>
  <c r="AP58" i="67"/>
  <c r="AQ58" i="67"/>
  <c r="AR58" i="67"/>
  <c r="AS58" i="67"/>
  <c r="AT58" i="67"/>
  <c r="AV58" i="67"/>
  <c r="AW58" i="67"/>
  <c r="AX58" i="67"/>
  <c r="AY58" i="67"/>
  <c r="AZ58" i="67"/>
  <c r="BA58" i="67"/>
  <c r="AD59" i="67"/>
  <c r="AE59" i="67"/>
  <c r="AF59" i="67"/>
  <c r="AG59" i="67"/>
  <c r="AH59" i="67"/>
  <c r="AI59" i="67"/>
  <c r="AJ59" i="67"/>
  <c r="AK59" i="67"/>
  <c r="AL59" i="67"/>
  <c r="AM59" i="67"/>
  <c r="AN59" i="67"/>
  <c r="AO59" i="67"/>
  <c r="AQ59" i="67"/>
  <c r="AR59" i="67"/>
  <c r="AS59" i="67"/>
  <c r="AT59" i="67"/>
  <c r="AV59" i="67"/>
  <c r="AW59" i="67"/>
  <c r="AX59" i="67"/>
  <c r="AY59" i="67"/>
  <c r="BA59" i="67"/>
  <c r="AD60" i="67"/>
  <c r="AE60" i="67"/>
  <c r="AF60" i="67"/>
  <c r="AG60" i="67"/>
  <c r="AH60" i="67"/>
  <c r="AI60" i="67"/>
  <c r="AJ60" i="67"/>
  <c r="AK60" i="67"/>
  <c r="AL60" i="67"/>
  <c r="AM60" i="67"/>
  <c r="AN60" i="67"/>
  <c r="AO60" i="67"/>
  <c r="AQ60" i="67"/>
  <c r="AR60" i="67"/>
  <c r="AS60" i="67"/>
  <c r="AT60" i="67"/>
  <c r="AU60" i="67"/>
  <c r="AV60" i="67"/>
  <c r="AW60" i="67"/>
  <c r="AX60" i="67"/>
  <c r="AY60" i="67"/>
  <c r="BA60" i="67"/>
  <c r="AD61" i="67"/>
  <c r="AE61" i="67"/>
  <c r="AF61" i="67"/>
  <c r="AG61" i="67"/>
  <c r="AH61" i="67"/>
  <c r="AI61" i="67"/>
  <c r="AJ61" i="67"/>
  <c r="AK61" i="67"/>
  <c r="AL61" i="67"/>
  <c r="AM61" i="67"/>
  <c r="AN61" i="67"/>
  <c r="AO61" i="67"/>
  <c r="AQ61" i="67"/>
  <c r="AR61" i="67"/>
  <c r="AS61" i="67"/>
  <c r="AT61" i="67"/>
  <c r="AV61" i="67"/>
  <c r="AW61" i="67"/>
  <c r="AX61" i="67"/>
  <c r="AY61" i="67"/>
  <c r="BA61" i="67"/>
  <c r="AD62" i="67"/>
  <c r="AE62" i="67"/>
  <c r="AF62" i="67"/>
  <c r="AG62" i="67"/>
  <c r="AH62" i="67"/>
  <c r="AI62" i="67"/>
  <c r="AJ62" i="67"/>
  <c r="AK62" i="67"/>
  <c r="AL62" i="67"/>
  <c r="AM62" i="67"/>
  <c r="AN62" i="67"/>
  <c r="AO62" i="67"/>
  <c r="AQ62" i="67"/>
  <c r="AR62" i="67"/>
  <c r="AS62" i="67"/>
  <c r="AT62" i="67"/>
  <c r="AV62" i="67"/>
  <c r="AW62" i="67"/>
  <c r="AX62" i="67"/>
  <c r="AY62" i="67"/>
  <c r="BA62" i="67"/>
  <c r="AD63" i="67"/>
  <c r="AE63" i="67"/>
  <c r="BH63" i="67" s="1"/>
  <c r="AF63" i="67"/>
  <c r="AG63" i="67"/>
  <c r="AH63" i="67"/>
  <c r="AI63" i="67"/>
  <c r="AJ63" i="67"/>
  <c r="AK63" i="67"/>
  <c r="AL63" i="67"/>
  <c r="AM63" i="67"/>
  <c r="AN63" i="67"/>
  <c r="AP63" i="67" s="1"/>
  <c r="AO63" i="67"/>
  <c r="AQ63" i="67"/>
  <c r="AR63" i="67"/>
  <c r="AS63" i="67"/>
  <c r="AT63" i="67"/>
  <c r="AV63" i="67"/>
  <c r="AW63" i="67"/>
  <c r="AX63" i="67"/>
  <c r="AY63" i="67"/>
  <c r="BA63" i="67"/>
  <c r="AD64" i="67"/>
  <c r="AE64" i="67"/>
  <c r="AF64" i="67"/>
  <c r="AG64" i="67"/>
  <c r="AH64" i="67"/>
  <c r="AI64" i="67"/>
  <c r="AJ64" i="67"/>
  <c r="AK64" i="67"/>
  <c r="AL64" i="67"/>
  <c r="AM64" i="67"/>
  <c r="AN64" i="67"/>
  <c r="AO64" i="67"/>
  <c r="AP64" i="67" s="1"/>
  <c r="AQ64" i="67"/>
  <c r="AR64" i="67"/>
  <c r="AS64" i="67"/>
  <c r="AT64" i="67"/>
  <c r="AV64" i="67"/>
  <c r="AW64" i="67"/>
  <c r="AX64" i="67"/>
  <c r="AY64" i="67"/>
  <c r="BA64" i="67"/>
  <c r="AD65" i="67"/>
  <c r="AE65" i="67"/>
  <c r="AF65" i="67"/>
  <c r="AG65" i="67"/>
  <c r="AH65" i="67"/>
  <c r="AI65" i="67"/>
  <c r="AJ65" i="67"/>
  <c r="AK65" i="67"/>
  <c r="AL65" i="67"/>
  <c r="AM65" i="67"/>
  <c r="AN65" i="67"/>
  <c r="AO65" i="67"/>
  <c r="AQ65" i="67"/>
  <c r="AR65" i="67"/>
  <c r="AS65" i="67"/>
  <c r="AT65" i="67"/>
  <c r="AV65" i="67"/>
  <c r="AW65" i="67"/>
  <c r="AX65" i="67"/>
  <c r="AY65" i="67"/>
  <c r="AZ65" i="67"/>
  <c r="BA65" i="67"/>
  <c r="AD66" i="67"/>
  <c r="AE66" i="67"/>
  <c r="AF66" i="67"/>
  <c r="AG66" i="67"/>
  <c r="AH66" i="67"/>
  <c r="AI66" i="67"/>
  <c r="AJ66" i="67"/>
  <c r="AK66" i="67"/>
  <c r="AL66" i="67"/>
  <c r="AM66" i="67"/>
  <c r="AN66" i="67"/>
  <c r="AO66" i="67"/>
  <c r="AQ66" i="67"/>
  <c r="AR66" i="67"/>
  <c r="AS66" i="67"/>
  <c r="AT66" i="67"/>
  <c r="AV66" i="67"/>
  <c r="AW66" i="67"/>
  <c r="AX66" i="67"/>
  <c r="AY66" i="67"/>
  <c r="BA66" i="67"/>
  <c r="AD67" i="67"/>
  <c r="AE67" i="67"/>
  <c r="AF67" i="67"/>
  <c r="AG67" i="67"/>
  <c r="AH67" i="67"/>
  <c r="AI67" i="67"/>
  <c r="AJ67" i="67"/>
  <c r="AK67" i="67"/>
  <c r="AL67" i="67"/>
  <c r="AM67" i="67"/>
  <c r="AN67" i="67"/>
  <c r="AO67" i="67"/>
  <c r="AQ67" i="67"/>
  <c r="AR67" i="67"/>
  <c r="AS67" i="67"/>
  <c r="AT67" i="67"/>
  <c r="AV67" i="67"/>
  <c r="AW67" i="67"/>
  <c r="AX67" i="67"/>
  <c r="AY67" i="67"/>
  <c r="BA67" i="67"/>
  <c r="AD68" i="67"/>
  <c r="AE68" i="67"/>
  <c r="AF68" i="67"/>
  <c r="AG68" i="67"/>
  <c r="AH68" i="67"/>
  <c r="AI68" i="67"/>
  <c r="AJ68" i="67"/>
  <c r="AK68" i="67"/>
  <c r="AL68" i="67"/>
  <c r="AM68" i="67"/>
  <c r="AN68" i="67"/>
  <c r="AO68" i="67"/>
  <c r="AQ68" i="67"/>
  <c r="AR68" i="67"/>
  <c r="AS68" i="67"/>
  <c r="AT68" i="67"/>
  <c r="AV68" i="67"/>
  <c r="AW68" i="67"/>
  <c r="AX68" i="67"/>
  <c r="AY68" i="67"/>
  <c r="BA68" i="67"/>
  <c r="AD69" i="67"/>
  <c r="AE69" i="67"/>
  <c r="AF69" i="67"/>
  <c r="AG69" i="67"/>
  <c r="AH69" i="67"/>
  <c r="AI69" i="67"/>
  <c r="AJ69" i="67"/>
  <c r="AK69" i="67"/>
  <c r="AL69" i="67"/>
  <c r="AM69" i="67"/>
  <c r="AN69" i="67"/>
  <c r="AO69" i="67"/>
  <c r="AQ69" i="67"/>
  <c r="AR69" i="67"/>
  <c r="AS69" i="67"/>
  <c r="AT69" i="67"/>
  <c r="AU69" i="67"/>
  <c r="AV69" i="67"/>
  <c r="AW69" i="67"/>
  <c r="AX69" i="67"/>
  <c r="AY69" i="67"/>
  <c r="BA69" i="67"/>
  <c r="AD70" i="67"/>
  <c r="AE70" i="67"/>
  <c r="BH70" i="67" s="1"/>
  <c r="AF70" i="67"/>
  <c r="AG70" i="67"/>
  <c r="AH70" i="67"/>
  <c r="AI70" i="67"/>
  <c r="AJ70" i="67"/>
  <c r="AK70" i="67"/>
  <c r="AL70" i="67"/>
  <c r="AM70" i="67"/>
  <c r="AN70" i="67"/>
  <c r="AO70" i="67"/>
  <c r="AQ70" i="67"/>
  <c r="AR70" i="67"/>
  <c r="AS70" i="67"/>
  <c r="AT70" i="67"/>
  <c r="AV70" i="67"/>
  <c r="AW70" i="67"/>
  <c r="AX70" i="67"/>
  <c r="AZ70" i="67" s="1"/>
  <c r="AY70" i="67"/>
  <c r="BA70" i="67"/>
  <c r="AD71" i="67"/>
  <c r="AE71" i="67"/>
  <c r="AF71" i="67"/>
  <c r="AG71" i="67"/>
  <c r="AH71" i="67"/>
  <c r="AI71" i="67"/>
  <c r="AJ71" i="67"/>
  <c r="AK71" i="67"/>
  <c r="AL71" i="67"/>
  <c r="AM71" i="67"/>
  <c r="AN71" i="67"/>
  <c r="AP71" i="67" s="1"/>
  <c r="AO71" i="67"/>
  <c r="AQ71" i="67"/>
  <c r="AR71" i="67"/>
  <c r="AS71" i="67"/>
  <c r="AT71" i="67"/>
  <c r="AV71" i="67"/>
  <c r="AW71" i="67"/>
  <c r="AX71" i="67"/>
  <c r="AY71" i="67"/>
  <c r="BA71" i="67"/>
  <c r="AD72" i="67"/>
  <c r="AE72" i="67"/>
  <c r="BH72" i="67" s="1"/>
  <c r="AF72" i="67"/>
  <c r="AG72" i="67"/>
  <c r="AH72" i="67"/>
  <c r="AI72" i="67"/>
  <c r="AJ72" i="67"/>
  <c r="AK72" i="67"/>
  <c r="AL72" i="67"/>
  <c r="AM72" i="67"/>
  <c r="AN72" i="67"/>
  <c r="AP72" i="67" s="1"/>
  <c r="AO72" i="67"/>
  <c r="AQ72" i="67"/>
  <c r="AR72" i="67"/>
  <c r="AS72" i="67"/>
  <c r="AT72" i="67"/>
  <c r="AV72" i="67"/>
  <c r="AW72" i="67"/>
  <c r="AX72" i="67"/>
  <c r="AY72" i="67"/>
  <c r="BA72" i="67"/>
  <c r="AD73" i="67"/>
  <c r="AE73" i="67"/>
  <c r="AF73" i="67"/>
  <c r="AG73" i="67"/>
  <c r="AH73" i="67"/>
  <c r="AI73" i="67"/>
  <c r="AJ73" i="67"/>
  <c r="AK73" i="67"/>
  <c r="AL73" i="67"/>
  <c r="AM73" i="67"/>
  <c r="AN73" i="67"/>
  <c r="AO73" i="67"/>
  <c r="AQ73" i="67"/>
  <c r="AR73" i="67"/>
  <c r="AS73" i="67"/>
  <c r="AT73" i="67"/>
  <c r="AV73" i="67"/>
  <c r="AW73" i="67"/>
  <c r="AX73" i="67"/>
  <c r="AY73" i="67"/>
  <c r="BA73" i="67"/>
  <c r="AD74" i="67"/>
  <c r="AE74" i="67"/>
  <c r="AF74" i="67"/>
  <c r="AG74" i="67"/>
  <c r="AH74" i="67"/>
  <c r="AI74" i="67"/>
  <c r="AJ74" i="67"/>
  <c r="AK74" i="67"/>
  <c r="AL74" i="67"/>
  <c r="AM74" i="67"/>
  <c r="AN74" i="67"/>
  <c r="AO74" i="67"/>
  <c r="AQ74" i="67"/>
  <c r="AR74" i="67"/>
  <c r="AS74" i="67"/>
  <c r="AT74" i="67"/>
  <c r="AV74" i="67"/>
  <c r="AW74" i="67"/>
  <c r="AX74" i="67"/>
  <c r="AY74" i="67"/>
  <c r="BA74" i="67"/>
  <c r="AD75" i="67"/>
  <c r="AE75" i="67"/>
  <c r="AF75" i="67"/>
  <c r="AG75" i="67"/>
  <c r="AH75" i="67"/>
  <c r="AI75" i="67"/>
  <c r="AJ75" i="67"/>
  <c r="AK75" i="67"/>
  <c r="AL75" i="67"/>
  <c r="AM75" i="67"/>
  <c r="AN75" i="67"/>
  <c r="AO75" i="67"/>
  <c r="AP75" i="67"/>
  <c r="AQ75" i="67"/>
  <c r="AR75" i="67"/>
  <c r="AS75" i="67"/>
  <c r="AT75" i="67"/>
  <c r="AV75" i="67"/>
  <c r="AW75" i="67"/>
  <c r="AX75" i="67"/>
  <c r="AY75" i="67"/>
  <c r="BA75" i="67"/>
  <c r="AD76" i="67"/>
  <c r="AE76" i="67"/>
  <c r="AF76" i="67"/>
  <c r="AG76" i="67"/>
  <c r="AH76" i="67"/>
  <c r="AI76" i="67"/>
  <c r="AJ76" i="67"/>
  <c r="AK76" i="67"/>
  <c r="AL76" i="67"/>
  <c r="AM76" i="67"/>
  <c r="AN76" i="67"/>
  <c r="AO76" i="67"/>
  <c r="AQ76" i="67"/>
  <c r="AR76" i="67"/>
  <c r="AS76" i="67"/>
  <c r="AT76" i="67"/>
  <c r="AV76" i="67"/>
  <c r="AW76" i="67"/>
  <c r="AX76" i="67"/>
  <c r="AY76" i="67"/>
  <c r="BA76" i="67"/>
  <c r="AD77" i="67"/>
  <c r="AE77" i="67"/>
  <c r="BH77" i="67" s="1"/>
  <c r="AF77" i="67"/>
  <c r="AG77" i="67"/>
  <c r="AH77" i="67"/>
  <c r="AI77" i="67"/>
  <c r="AJ77" i="67"/>
  <c r="AK77" i="67"/>
  <c r="AL77" i="67"/>
  <c r="AM77" i="67"/>
  <c r="AN77" i="67"/>
  <c r="AO77" i="67"/>
  <c r="AP77" i="67"/>
  <c r="AQ77" i="67"/>
  <c r="AR77" i="67"/>
  <c r="AS77" i="67"/>
  <c r="AT77" i="67"/>
  <c r="AV77" i="67"/>
  <c r="AW77" i="67"/>
  <c r="AX77" i="67"/>
  <c r="AY77" i="67"/>
  <c r="BA77" i="67"/>
  <c r="AD78" i="67"/>
  <c r="AE78" i="67"/>
  <c r="BH78" i="67" s="1"/>
  <c r="AF78" i="67"/>
  <c r="AG78" i="67"/>
  <c r="AH78" i="67"/>
  <c r="AI78" i="67"/>
  <c r="AJ78" i="67"/>
  <c r="AK78" i="67"/>
  <c r="AL78" i="67"/>
  <c r="AM78" i="67"/>
  <c r="AN78" i="67"/>
  <c r="AO78" i="67"/>
  <c r="AQ78" i="67"/>
  <c r="AR78" i="67"/>
  <c r="AS78" i="67"/>
  <c r="AT78" i="67"/>
  <c r="AV78" i="67"/>
  <c r="AW78" i="67"/>
  <c r="AX78" i="67"/>
  <c r="AY78" i="67"/>
  <c r="AZ78" i="67"/>
  <c r="BA78" i="67"/>
  <c r="AD79" i="67"/>
  <c r="AE79" i="67"/>
  <c r="AF79" i="67"/>
  <c r="AG79" i="67"/>
  <c r="AH79" i="67"/>
  <c r="AI79" i="67"/>
  <c r="AJ79" i="67"/>
  <c r="AK79" i="67"/>
  <c r="AL79" i="67"/>
  <c r="AM79" i="67"/>
  <c r="AN79" i="67"/>
  <c r="AO79" i="67"/>
  <c r="AP79" i="67" s="1"/>
  <c r="AQ79" i="67"/>
  <c r="AR79" i="67"/>
  <c r="AS79" i="67"/>
  <c r="AT79" i="67"/>
  <c r="AU79" i="67"/>
  <c r="AV79" i="67"/>
  <c r="AW79" i="67"/>
  <c r="AX79" i="67"/>
  <c r="AY79" i="67"/>
  <c r="BA79" i="67"/>
  <c r="AD80" i="67"/>
  <c r="AE80" i="67"/>
  <c r="AF80" i="67"/>
  <c r="AG80" i="67"/>
  <c r="AH80" i="67"/>
  <c r="AI80" i="67"/>
  <c r="AJ80" i="67"/>
  <c r="AK80" i="67"/>
  <c r="AL80" i="67"/>
  <c r="AM80" i="67"/>
  <c r="AN80" i="67"/>
  <c r="AO80" i="67"/>
  <c r="AQ80" i="67"/>
  <c r="AR80" i="67"/>
  <c r="AS80" i="67"/>
  <c r="AT80" i="67"/>
  <c r="AV80" i="67"/>
  <c r="AW80" i="67"/>
  <c r="AX80" i="67"/>
  <c r="AY80" i="67"/>
  <c r="AZ80" i="67"/>
  <c r="BA80" i="67"/>
  <c r="AD81" i="67"/>
  <c r="AE81" i="67"/>
  <c r="AF81" i="67"/>
  <c r="AG81" i="67"/>
  <c r="AH81" i="67"/>
  <c r="AI81" i="67"/>
  <c r="AJ81" i="67"/>
  <c r="AK81" i="67"/>
  <c r="AL81" i="67"/>
  <c r="AM81" i="67"/>
  <c r="AN81" i="67"/>
  <c r="AO81" i="67"/>
  <c r="AQ81" i="67"/>
  <c r="AR81" i="67"/>
  <c r="AS81" i="67"/>
  <c r="AU81" i="67" s="1"/>
  <c r="AT81" i="67"/>
  <c r="AV81" i="67"/>
  <c r="AW81" i="67"/>
  <c r="AX81" i="67"/>
  <c r="AY81" i="67"/>
  <c r="BA81" i="67"/>
  <c r="AD82" i="67"/>
  <c r="AE82" i="67"/>
  <c r="AF82" i="67"/>
  <c r="AG82" i="67"/>
  <c r="AH82" i="67"/>
  <c r="AI82" i="67"/>
  <c r="AJ82" i="67"/>
  <c r="AK82" i="67"/>
  <c r="AL82" i="67"/>
  <c r="AM82" i="67"/>
  <c r="AN82" i="67"/>
  <c r="AP82" i="67" s="1"/>
  <c r="AO82" i="67"/>
  <c r="AQ82" i="67"/>
  <c r="AR82" i="67"/>
  <c r="AS82" i="67"/>
  <c r="AT82" i="67"/>
  <c r="AV82" i="67"/>
  <c r="AW82" i="67"/>
  <c r="AX82" i="67"/>
  <c r="AY82" i="67"/>
  <c r="BA82" i="67"/>
  <c r="AD83" i="67"/>
  <c r="AE83" i="67"/>
  <c r="AF83" i="67"/>
  <c r="AG83" i="67"/>
  <c r="AH83" i="67"/>
  <c r="AI83" i="67"/>
  <c r="AJ83" i="67"/>
  <c r="AK83" i="67"/>
  <c r="AL83" i="67"/>
  <c r="AM83" i="67"/>
  <c r="AN83" i="67"/>
  <c r="AO83" i="67"/>
  <c r="AQ83" i="67"/>
  <c r="AR83" i="67"/>
  <c r="AS83" i="67"/>
  <c r="AT83" i="67"/>
  <c r="AV83" i="67"/>
  <c r="AW83" i="67"/>
  <c r="AX83" i="67"/>
  <c r="AY83" i="67"/>
  <c r="BA83" i="67"/>
  <c r="AD84" i="67"/>
  <c r="AE84" i="67"/>
  <c r="AF84" i="67"/>
  <c r="AG84" i="67"/>
  <c r="AH84" i="67"/>
  <c r="AI84" i="67"/>
  <c r="AJ84" i="67"/>
  <c r="AK84" i="67"/>
  <c r="AL84" i="67"/>
  <c r="AM84" i="67"/>
  <c r="AN84" i="67"/>
  <c r="AO84" i="67"/>
  <c r="AQ84" i="67"/>
  <c r="AR84" i="67"/>
  <c r="AS84" i="67"/>
  <c r="AU84" i="67" s="1"/>
  <c r="AT84" i="67"/>
  <c r="AV84" i="67"/>
  <c r="AW84" i="67"/>
  <c r="AX84" i="67"/>
  <c r="AY84" i="67"/>
  <c r="BA84" i="67"/>
  <c r="AD85" i="67"/>
  <c r="AE85" i="67"/>
  <c r="AF85" i="67"/>
  <c r="AG85" i="67"/>
  <c r="AH85" i="67"/>
  <c r="AI85" i="67"/>
  <c r="AJ85" i="67"/>
  <c r="AK85" i="67"/>
  <c r="AL85" i="67"/>
  <c r="AM85" i="67"/>
  <c r="AN85" i="67"/>
  <c r="AO85" i="67"/>
  <c r="AP85" i="67"/>
  <c r="AQ85" i="67"/>
  <c r="AR85" i="67"/>
  <c r="AS85" i="67"/>
  <c r="AU85" i="67" s="1"/>
  <c r="AT85" i="67"/>
  <c r="AV85" i="67"/>
  <c r="AW85" i="67"/>
  <c r="AX85" i="67"/>
  <c r="AY85" i="67"/>
  <c r="AZ85" i="67"/>
  <c r="BA85" i="67"/>
  <c r="AD86" i="67"/>
  <c r="AE86" i="67"/>
  <c r="AF86" i="67"/>
  <c r="AG86" i="67"/>
  <c r="AH86" i="67"/>
  <c r="AI86" i="67"/>
  <c r="AJ86" i="67"/>
  <c r="AK86" i="67"/>
  <c r="AL86" i="67"/>
  <c r="AM86" i="67"/>
  <c r="AN86" i="67"/>
  <c r="AO86" i="67"/>
  <c r="AQ86" i="67"/>
  <c r="AR86" i="67"/>
  <c r="AS86" i="67"/>
  <c r="AT86" i="67"/>
  <c r="AV86" i="67"/>
  <c r="AW86" i="67"/>
  <c r="AX86" i="67"/>
  <c r="AY86" i="67"/>
  <c r="BA86" i="67"/>
  <c r="BH86" i="67"/>
  <c r="AD87" i="67"/>
  <c r="AE87" i="67"/>
  <c r="BH87" i="67" s="1"/>
  <c r="AF87" i="67"/>
  <c r="AG87" i="67"/>
  <c r="AH87" i="67"/>
  <c r="AI87" i="67"/>
  <c r="AJ87" i="67"/>
  <c r="AK87" i="67"/>
  <c r="AL87" i="67"/>
  <c r="AM87" i="67"/>
  <c r="AN87" i="67"/>
  <c r="AO87" i="67"/>
  <c r="AP87" i="67"/>
  <c r="AQ87" i="67"/>
  <c r="AR87" i="67"/>
  <c r="AS87" i="67"/>
  <c r="AT87" i="67"/>
  <c r="AU87" i="67" s="1"/>
  <c r="AV87" i="67"/>
  <c r="AW87" i="67"/>
  <c r="AX87" i="67"/>
  <c r="AY87" i="67"/>
  <c r="BA87" i="67"/>
  <c r="AD88" i="67"/>
  <c r="AE88" i="67"/>
  <c r="BH88" i="67" s="1"/>
  <c r="AF88" i="67"/>
  <c r="AG88" i="67"/>
  <c r="AH88" i="67"/>
  <c r="AI88" i="67"/>
  <c r="AJ88" i="67"/>
  <c r="AK88" i="67"/>
  <c r="AL88" i="67"/>
  <c r="AM88" i="67"/>
  <c r="AN88" i="67"/>
  <c r="AP88" i="67" s="1"/>
  <c r="AO88" i="67"/>
  <c r="AQ88" i="67"/>
  <c r="AR88" i="67"/>
  <c r="AS88" i="67"/>
  <c r="AT88" i="67"/>
  <c r="AV88" i="67"/>
  <c r="AW88" i="67"/>
  <c r="AX88" i="67"/>
  <c r="AZ88" i="67" s="1"/>
  <c r="AY88" i="67"/>
  <c r="BA88" i="67"/>
  <c r="AD89" i="67"/>
  <c r="AE89" i="67"/>
  <c r="BH89" i="67" s="1"/>
  <c r="AF89" i="67"/>
  <c r="AG89" i="67"/>
  <c r="AH89" i="67"/>
  <c r="AI89" i="67"/>
  <c r="AJ89" i="67"/>
  <c r="AK89" i="67"/>
  <c r="AL89" i="67"/>
  <c r="AM89" i="67"/>
  <c r="AN89" i="67"/>
  <c r="AO89" i="67"/>
  <c r="AQ89" i="67"/>
  <c r="AR89" i="67"/>
  <c r="AS89" i="67"/>
  <c r="AT89" i="67"/>
  <c r="AV89" i="67"/>
  <c r="AW89" i="67"/>
  <c r="AX89" i="67"/>
  <c r="AY89" i="67"/>
  <c r="BA89" i="67"/>
  <c r="AD90" i="67"/>
  <c r="AE90" i="67"/>
  <c r="AF90" i="67"/>
  <c r="AG90" i="67"/>
  <c r="AH90" i="67"/>
  <c r="AI90" i="67"/>
  <c r="AJ90" i="67"/>
  <c r="AK90" i="67"/>
  <c r="AL90" i="67"/>
  <c r="AM90" i="67"/>
  <c r="AN90" i="67"/>
  <c r="AO90" i="67"/>
  <c r="AP90" i="67"/>
  <c r="AQ90" i="67"/>
  <c r="AR90" i="67"/>
  <c r="AS90" i="67"/>
  <c r="AT90" i="67"/>
  <c r="AV90" i="67"/>
  <c r="AW90" i="67"/>
  <c r="AX90" i="67"/>
  <c r="AY90" i="67"/>
  <c r="AZ90" i="67"/>
  <c r="BA90" i="67"/>
  <c r="AD91" i="67"/>
  <c r="AE91" i="67"/>
  <c r="AF91" i="67"/>
  <c r="AG91" i="67"/>
  <c r="AH91" i="67"/>
  <c r="AI91" i="67"/>
  <c r="AJ91" i="67"/>
  <c r="AK91" i="67"/>
  <c r="AL91" i="67"/>
  <c r="AM91" i="67"/>
  <c r="AN91" i="67"/>
  <c r="AO91" i="67"/>
  <c r="AQ91" i="67"/>
  <c r="AR91" i="67"/>
  <c r="AS91" i="67"/>
  <c r="AT91" i="67"/>
  <c r="AV91" i="67"/>
  <c r="AW91" i="67"/>
  <c r="AX91" i="67"/>
  <c r="AY91" i="67"/>
  <c r="BA91" i="67"/>
  <c r="AD92" i="67"/>
  <c r="AE92" i="67"/>
  <c r="AF92" i="67"/>
  <c r="AG92" i="67"/>
  <c r="AH92" i="67"/>
  <c r="AI92" i="67"/>
  <c r="AJ92" i="67"/>
  <c r="AK92" i="67"/>
  <c r="AL92" i="67"/>
  <c r="AM92" i="67"/>
  <c r="AN92" i="67"/>
  <c r="AO92" i="67"/>
  <c r="AQ92" i="67"/>
  <c r="AR92" i="67"/>
  <c r="AS92" i="67"/>
  <c r="AT92" i="67"/>
  <c r="AV92" i="67"/>
  <c r="AW92" i="67"/>
  <c r="AX92" i="67"/>
  <c r="AY92" i="67"/>
  <c r="BA92" i="67"/>
  <c r="AD93" i="67"/>
  <c r="AE93" i="67"/>
  <c r="AF93" i="67"/>
  <c r="AG93" i="67"/>
  <c r="AH93" i="67"/>
  <c r="AI93" i="67"/>
  <c r="AJ93" i="67"/>
  <c r="AK93" i="67"/>
  <c r="AL93" i="67"/>
  <c r="AM93" i="67"/>
  <c r="AN93" i="67"/>
  <c r="AO93" i="67"/>
  <c r="AQ93" i="67"/>
  <c r="AR93" i="67"/>
  <c r="AS93" i="67"/>
  <c r="AT93" i="67"/>
  <c r="AV93" i="67"/>
  <c r="AW93" i="67"/>
  <c r="AX93" i="67"/>
  <c r="AY93" i="67"/>
  <c r="BA93" i="67"/>
  <c r="AD94" i="67"/>
  <c r="AE94" i="67"/>
  <c r="AF94" i="67"/>
  <c r="AG94" i="67"/>
  <c r="AH94" i="67"/>
  <c r="AI94" i="67"/>
  <c r="AJ94" i="67"/>
  <c r="AK94" i="67"/>
  <c r="AL94" i="67"/>
  <c r="AM94" i="67"/>
  <c r="AN94" i="67"/>
  <c r="AP94" i="67" s="1"/>
  <c r="AO94" i="67"/>
  <c r="AQ94" i="67"/>
  <c r="AR94" i="67"/>
  <c r="AS94" i="67"/>
  <c r="AT94" i="67"/>
  <c r="AU94" i="67"/>
  <c r="AV94" i="67"/>
  <c r="AW94" i="67"/>
  <c r="AX94" i="67"/>
  <c r="AY94" i="67"/>
  <c r="BA94" i="67"/>
  <c r="AD95" i="67"/>
  <c r="AE95" i="67"/>
  <c r="AF95" i="67"/>
  <c r="AG95" i="67"/>
  <c r="AH95" i="67"/>
  <c r="AI95" i="67"/>
  <c r="AJ95" i="67"/>
  <c r="AK95" i="67"/>
  <c r="AL95" i="67"/>
  <c r="AM95" i="67"/>
  <c r="AN95" i="67"/>
  <c r="AO95" i="67"/>
  <c r="AQ95" i="67"/>
  <c r="AR95" i="67"/>
  <c r="AS95" i="67"/>
  <c r="AT95" i="67"/>
  <c r="AV95" i="67"/>
  <c r="AW95" i="67"/>
  <c r="AX95" i="67"/>
  <c r="AY95" i="67"/>
  <c r="BA95" i="67"/>
  <c r="AD96" i="67"/>
  <c r="AE96" i="67"/>
  <c r="BH96" i="67" s="1"/>
  <c r="AF96" i="67"/>
  <c r="AG96" i="67"/>
  <c r="AH96" i="67"/>
  <c r="AI96" i="67"/>
  <c r="AJ96" i="67"/>
  <c r="AK96" i="67"/>
  <c r="AL96" i="67"/>
  <c r="AM96" i="67"/>
  <c r="AN96" i="67"/>
  <c r="AO96" i="67"/>
  <c r="AQ96" i="67"/>
  <c r="AR96" i="67"/>
  <c r="AS96" i="67"/>
  <c r="AT96" i="67"/>
  <c r="AV96" i="67"/>
  <c r="AW96" i="67"/>
  <c r="AX96" i="67"/>
  <c r="AY96" i="67"/>
  <c r="BA96" i="67"/>
  <c r="AD97" i="67"/>
  <c r="AE97" i="67"/>
  <c r="BH97" i="67" s="1"/>
  <c r="AF97" i="67"/>
  <c r="AG97" i="67"/>
  <c r="AH97" i="67"/>
  <c r="AI97" i="67"/>
  <c r="AJ97" i="67"/>
  <c r="AK97" i="67"/>
  <c r="AL97" i="67"/>
  <c r="AM97" i="67"/>
  <c r="AN97" i="67"/>
  <c r="AP97" i="67" s="1"/>
  <c r="AO97" i="67"/>
  <c r="AQ97" i="67"/>
  <c r="AR97" i="67"/>
  <c r="AS97" i="67"/>
  <c r="AT97" i="67"/>
  <c r="AV97" i="67"/>
  <c r="AW97" i="67"/>
  <c r="AX97" i="67"/>
  <c r="AZ97" i="67" s="1"/>
  <c r="AY97" i="67"/>
  <c r="BA97" i="67"/>
  <c r="AD98" i="67"/>
  <c r="AE98" i="67"/>
  <c r="BH98" i="67" s="1"/>
  <c r="AF98" i="67"/>
  <c r="AG98" i="67"/>
  <c r="AH98" i="67"/>
  <c r="AI98" i="67"/>
  <c r="AJ98" i="67"/>
  <c r="AK98" i="67"/>
  <c r="AL98" i="67"/>
  <c r="AM98" i="67"/>
  <c r="AN98" i="67"/>
  <c r="AO98" i="67"/>
  <c r="AQ98" i="67"/>
  <c r="AR98" i="67"/>
  <c r="AS98" i="67"/>
  <c r="AT98" i="67"/>
  <c r="AV98" i="67"/>
  <c r="AW98" i="67"/>
  <c r="AX98" i="67"/>
  <c r="AY98" i="67"/>
  <c r="BA98" i="67"/>
  <c r="AD99" i="67"/>
  <c r="AE99" i="67"/>
  <c r="AF99" i="67"/>
  <c r="AG99" i="67"/>
  <c r="AH99" i="67"/>
  <c r="AI99" i="67"/>
  <c r="AJ99" i="67"/>
  <c r="AK99" i="67"/>
  <c r="AL99" i="67"/>
  <c r="AM99" i="67"/>
  <c r="AN99" i="67"/>
  <c r="AO99" i="67"/>
  <c r="AQ99" i="67"/>
  <c r="AR99" i="67"/>
  <c r="AS99" i="67"/>
  <c r="AT99" i="67"/>
  <c r="AV99" i="67"/>
  <c r="AW99" i="67"/>
  <c r="AX99" i="67"/>
  <c r="AY99" i="67"/>
  <c r="BA99" i="67"/>
  <c r="AD100" i="67"/>
  <c r="AE100" i="67"/>
  <c r="AF100" i="67"/>
  <c r="AG100" i="67"/>
  <c r="AH100" i="67"/>
  <c r="AI100" i="67"/>
  <c r="AJ100" i="67"/>
  <c r="AK100" i="67"/>
  <c r="AL100" i="67"/>
  <c r="AM100" i="67"/>
  <c r="AN100" i="67"/>
  <c r="AO100" i="67"/>
  <c r="AQ100" i="67"/>
  <c r="AR100" i="67"/>
  <c r="AS100" i="67"/>
  <c r="AT100" i="67"/>
  <c r="AV100" i="67"/>
  <c r="AW100" i="67"/>
  <c r="AX100" i="67"/>
  <c r="AY100" i="67"/>
  <c r="BA100" i="67"/>
  <c r="AD101" i="67"/>
  <c r="AE101" i="67"/>
  <c r="AF101" i="67"/>
  <c r="AG101" i="67"/>
  <c r="AH101" i="67"/>
  <c r="AI101" i="67"/>
  <c r="AJ101" i="67"/>
  <c r="AK101" i="67"/>
  <c r="AL101" i="67"/>
  <c r="AM101" i="67"/>
  <c r="AN101" i="67"/>
  <c r="AO101" i="67"/>
  <c r="AQ101" i="67"/>
  <c r="AR101" i="67"/>
  <c r="AS101" i="67"/>
  <c r="AT101" i="67"/>
  <c r="AU101" i="67"/>
  <c r="AV101" i="67"/>
  <c r="AW101" i="67"/>
  <c r="AX101" i="67"/>
  <c r="AY101" i="67"/>
  <c r="BA101" i="67"/>
  <c r="AD102" i="67"/>
  <c r="AE102" i="67"/>
  <c r="AF102" i="67"/>
  <c r="AG102" i="67"/>
  <c r="AH102" i="67"/>
  <c r="AI102" i="67"/>
  <c r="AJ102" i="67"/>
  <c r="AK102" i="67"/>
  <c r="AL102" i="67"/>
  <c r="AM102" i="67"/>
  <c r="AN102" i="67"/>
  <c r="AO102" i="67"/>
  <c r="AQ102" i="67"/>
  <c r="AR102" i="67"/>
  <c r="AS102" i="67"/>
  <c r="AU102" i="67" s="1"/>
  <c r="AT102" i="67"/>
  <c r="AV102" i="67"/>
  <c r="AW102" i="67"/>
  <c r="AX102" i="67"/>
  <c r="AY102" i="67"/>
  <c r="BA102" i="67"/>
  <c r="AD103" i="67"/>
  <c r="AE103" i="67"/>
  <c r="BH103" i="67" s="1"/>
  <c r="AF103" i="67"/>
  <c r="AG103" i="67"/>
  <c r="AH103" i="67"/>
  <c r="AI103" i="67"/>
  <c r="AJ103" i="67"/>
  <c r="AK103" i="67"/>
  <c r="AL103" i="67"/>
  <c r="AM103" i="67"/>
  <c r="AN103" i="67"/>
  <c r="AO103" i="67"/>
  <c r="AQ103" i="67"/>
  <c r="AR103" i="67"/>
  <c r="AS103" i="67"/>
  <c r="AU103" i="67" s="1"/>
  <c r="AT103" i="67"/>
  <c r="AV103" i="67"/>
  <c r="AW103" i="67"/>
  <c r="AX103" i="67"/>
  <c r="AY103" i="67"/>
  <c r="BA103" i="67"/>
  <c r="AD104" i="67"/>
  <c r="AE104" i="67"/>
  <c r="AF104" i="67"/>
  <c r="AG104" i="67"/>
  <c r="AH104" i="67"/>
  <c r="AI104" i="67"/>
  <c r="AJ104" i="67"/>
  <c r="AK104" i="67"/>
  <c r="AL104" i="67"/>
  <c r="AM104" i="67"/>
  <c r="AN104" i="67"/>
  <c r="AP104" i="67" s="1"/>
  <c r="AO104" i="67"/>
  <c r="AQ104" i="67"/>
  <c r="AR104" i="67"/>
  <c r="AS104" i="67"/>
  <c r="AT104" i="67"/>
  <c r="AV104" i="67"/>
  <c r="AW104" i="67"/>
  <c r="AX104" i="67"/>
  <c r="AZ104" i="67" s="1"/>
  <c r="AY104" i="67"/>
  <c r="BA104" i="67"/>
  <c r="AW5" i="67"/>
  <c r="AX5" i="67"/>
  <c r="AY5" i="67"/>
  <c r="AV5" i="67"/>
  <c r="AR5" i="67"/>
  <c r="AS5" i="67"/>
  <c r="AT5" i="67"/>
  <c r="AQ5" i="67"/>
  <c r="AE5" i="67"/>
  <c r="AF5" i="67"/>
  <c r="AG5" i="67"/>
  <c r="AH5" i="67"/>
  <c r="AI5" i="67"/>
  <c r="AJ5" i="67"/>
  <c r="AK5" i="67"/>
  <c r="AL5" i="67"/>
  <c r="AM5" i="67"/>
  <c r="AN5" i="67"/>
  <c r="AO5" i="67"/>
  <c r="BD5" i="67" l="1"/>
  <c r="BC5" i="67"/>
  <c r="BE5" i="67" s="1"/>
  <c r="BG5" i="67" a="1"/>
  <c r="BG5" i="67" s="1"/>
  <c r="BF5" i="67" a="1"/>
  <c r="BF5" i="67" s="1"/>
  <c r="BC6" i="67"/>
  <c r="BD6" i="67"/>
  <c r="BF6" i="67" a="1"/>
  <c r="BF6" i="67" s="1"/>
  <c r="BG6" i="67" a="1"/>
  <c r="BG6" i="67" s="1"/>
  <c r="BC7" i="67"/>
  <c r="BD7" i="67"/>
  <c r="BG7" i="67" a="1"/>
  <c r="BG7" i="67" s="1"/>
  <c r="BF7" i="67" a="1"/>
  <c r="BF7" i="67" s="1"/>
  <c r="BH7" i="67" s="1"/>
  <c r="AZ98" i="67"/>
  <c r="AU75" i="67"/>
  <c r="AU62" i="67"/>
  <c r="AZ47" i="67"/>
  <c r="AU91" i="67"/>
  <c r="AZ89" i="67"/>
  <c r="AP73" i="67"/>
  <c r="AP99" i="67"/>
  <c r="AP80" i="67"/>
  <c r="BE100" i="67"/>
  <c r="AU93" i="67"/>
  <c r="AZ72" i="67"/>
  <c r="AP70" i="67"/>
  <c r="AU68" i="67"/>
  <c r="AP42" i="67"/>
  <c r="BH36" i="67"/>
  <c r="AU27" i="67"/>
  <c r="AU19" i="67"/>
  <c r="BH6" i="67"/>
  <c r="AP14" i="67"/>
  <c r="AU38" i="67"/>
  <c r="AZ26" i="67"/>
  <c r="BE11" i="67"/>
  <c r="AZ7" i="67"/>
  <c r="AU58" i="67"/>
  <c r="AU66" i="67"/>
  <c r="AU13" i="67"/>
  <c r="AP78" i="67"/>
  <c r="AP98" i="67"/>
  <c r="AU76" i="67"/>
  <c r="AZ74" i="67"/>
  <c r="AZ51" i="67"/>
  <c r="AZ45" i="67"/>
  <c r="AZ93" i="67"/>
  <c r="AZ84" i="67"/>
  <c r="AU72" i="67"/>
  <c r="BH71" i="67"/>
  <c r="AU29" i="67"/>
  <c r="AZ27" i="67"/>
  <c r="AP22" i="67"/>
  <c r="AZ19" i="67"/>
  <c r="AP12" i="67"/>
  <c r="AP89" i="67"/>
  <c r="AU104" i="67"/>
  <c r="AZ100" i="67"/>
  <c r="AZ94" i="67"/>
  <c r="AU92" i="67"/>
  <c r="AU83" i="67"/>
  <c r="AU67" i="67"/>
  <c r="AZ62" i="67"/>
  <c r="AU48" i="67"/>
  <c r="AU43" i="67"/>
  <c r="AZ38" i="67"/>
  <c r="AP33" i="67"/>
  <c r="AZ28" i="67"/>
  <c r="BE18" i="67"/>
  <c r="AZ10" i="67"/>
  <c r="AZ67" i="67"/>
  <c r="AZ102" i="67"/>
  <c r="AZ73" i="67"/>
  <c r="AZ99" i="67"/>
  <c r="AZ96" i="67"/>
  <c r="AP74" i="67"/>
  <c r="AZ9" i="67"/>
  <c r="BE91" i="67"/>
  <c r="AZ86" i="67"/>
  <c r="AZ82" i="67"/>
  <c r="AP69" i="67"/>
  <c r="AZ66" i="67"/>
  <c r="AP66" i="67"/>
  <c r="AU61" i="67"/>
  <c r="AU57" i="67"/>
  <c r="AZ55" i="67"/>
  <c r="BH47" i="67"/>
  <c r="AZ40" i="67"/>
  <c r="AU32" i="67"/>
  <c r="AZ23" i="67"/>
  <c r="AP23" i="67"/>
  <c r="AU21" i="67"/>
  <c r="BH58" i="67"/>
  <c r="BH75" i="67"/>
  <c r="AP84" i="67"/>
  <c r="BE29" i="67"/>
  <c r="AP96" i="67"/>
  <c r="AU78" i="67"/>
  <c r="BH69" i="67"/>
  <c r="BE66" i="67"/>
  <c r="AZ64" i="67"/>
  <c r="BH62" i="67"/>
  <c r="AZ59" i="67"/>
  <c r="AP59" i="67"/>
  <c r="AZ54" i="67"/>
  <c r="AP54" i="67"/>
  <c r="AU40" i="67"/>
  <c r="AZ37" i="67"/>
  <c r="AZ36" i="67"/>
  <c r="BH31" i="67"/>
  <c r="AP24" i="67"/>
  <c r="AP51" i="67"/>
  <c r="BE51" i="67"/>
  <c r="BH28" i="67"/>
  <c r="BE68" i="67"/>
  <c r="BH52" i="67"/>
  <c r="BH46" i="67"/>
  <c r="AZ91" i="67"/>
  <c r="AP49" i="67"/>
  <c r="AZ34" i="67"/>
  <c r="BH29" i="67"/>
  <c r="AP16" i="67"/>
  <c r="AP103" i="67"/>
  <c r="AU99" i="67"/>
  <c r="AZ76" i="67"/>
  <c r="AZ42" i="67"/>
  <c r="BE98" i="67"/>
  <c r="AU95" i="67"/>
  <c r="AP92" i="67"/>
  <c r="AU88" i="67"/>
  <c r="AZ53" i="67"/>
  <c r="AZ52" i="67"/>
  <c r="AU47" i="67"/>
  <c r="AZ41" i="67"/>
  <c r="AP41" i="67"/>
  <c r="BH39" i="67"/>
  <c r="AU70" i="67"/>
  <c r="BE99" i="67"/>
  <c r="AP91" i="67"/>
  <c r="AU100" i="67"/>
  <c r="BH94" i="67"/>
  <c r="AZ92" i="67"/>
  <c r="AZ77" i="67"/>
  <c r="BH76" i="67"/>
  <c r="AZ71" i="67"/>
  <c r="BH102" i="67"/>
  <c r="AZ81" i="67"/>
  <c r="AZ50" i="67"/>
  <c r="AP50" i="67"/>
  <c r="AP34" i="67"/>
  <c r="AU6" i="67"/>
  <c r="BE8" i="67"/>
  <c r="AU65" i="67"/>
  <c r="AU46" i="67"/>
  <c r="AZ35" i="67"/>
  <c r="AZ30" i="67"/>
  <c r="AZ29" i="67"/>
  <c r="AU26" i="67"/>
  <c r="AU22" i="67"/>
  <c r="AZ16" i="67"/>
  <c r="AU14" i="67"/>
  <c r="AU11" i="67"/>
  <c r="AZ6" i="67"/>
  <c r="AZ60" i="67"/>
  <c r="AZ57" i="67"/>
  <c r="AU51" i="67"/>
  <c r="AZ46" i="67"/>
  <c r="AP45" i="67"/>
  <c r="AP44" i="67"/>
  <c r="AZ20" i="67"/>
  <c r="AZ15" i="67"/>
  <c r="AP9" i="67"/>
  <c r="AU77" i="67"/>
  <c r="AZ103" i="67"/>
  <c r="AZ101" i="67"/>
  <c r="AP100" i="67"/>
  <c r="AU96" i="67"/>
  <c r="BH73" i="67"/>
  <c r="AZ68" i="67"/>
  <c r="AP68" i="67"/>
  <c r="AP65" i="67"/>
  <c r="AP62" i="67"/>
  <c r="AU49" i="67"/>
  <c r="AP38" i="67"/>
  <c r="AU35" i="67"/>
  <c r="AU30" i="67"/>
  <c r="AP25" i="67"/>
  <c r="AZ21" i="67"/>
  <c r="AZ14" i="67"/>
  <c r="AZ12" i="67"/>
  <c r="BE93" i="67"/>
  <c r="BH104" i="67"/>
  <c r="BH95" i="67"/>
  <c r="AP86" i="67"/>
  <c r="AZ75" i="67"/>
  <c r="BH57" i="67"/>
  <c r="BE84" i="67"/>
  <c r="AU73" i="67"/>
  <c r="AU56" i="67"/>
  <c r="BH49" i="67"/>
  <c r="AP102" i="67"/>
  <c r="AP101" i="67"/>
  <c r="BH79" i="67"/>
  <c r="BE54" i="67"/>
  <c r="BH81" i="67"/>
  <c r="AZ43" i="67"/>
  <c r="BE25" i="67"/>
  <c r="BH20" i="67"/>
  <c r="BH56" i="67"/>
  <c r="AP47" i="67"/>
  <c r="BH44" i="67"/>
  <c r="BH21" i="67"/>
  <c r="AZ87" i="67"/>
  <c r="BE49" i="67"/>
  <c r="AU41" i="67"/>
  <c r="AU98" i="67"/>
  <c r="AZ95" i="67"/>
  <c r="AP95" i="67"/>
  <c r="AU89" i="67"/>
  <c r="AU82" i="67"/>
  <c r="AP76" i="67"/>
  <c r="BH61" i="67"/>
  <c r="AP57" i="67"/>
  <c r="BH55" i="67"/>
  <c r="AP53" i="67"/>
  <c r="AZ22" i="67"/>
  <c r="BE65" i="67"/>
  <c r="AP61" i="67"/>
  <c r="AU59" i="67"/>
  <c r="BH40" i="67"/>
  <c r="AU80" i="67"/>
  <c r="AZ79" i="67"/>
  <c r="BH93" i="67"/>
  <c r="BE90" i="67"/>
  <c r="AU90" i="67"/>
  <c r="BH85" i="67"/>
  <c r="AP83" i="67"/>
  <c r="AP81" i="67"/>
  <c r="AZ63" i="67"/>
  <c r="BE9" i="67"/>
  <c r="BH101" i="67"/>
  <c r="BH84" i="67"/>
  <c r="BH80" i="67"/>
  <c r="AU52" i="67"/>
  <c r="AU97" i="67"/>
  <c r="AP93" i="67"/>
  <c r="AU74" i="67"/>
  <c r="BE57" i="67"/>
  <c r="BH50" i="67"/>
  <c r="BE42" i="67"/>
  <c r="AU71" i="67"/>
  <c r="BH59" i="67"/>
  <c r="AU39" i="67"/>
  <c r="AU18" i="67"/>
  <c r="AU23" i="67"/>
  <c r="BH13" i="67"/>
  <c r="BH12" i="67"/>
  <c r="AU7" i="67"/>
  <c r="AU86" i="67"/>
  <c r="AZ69" i="67"/>
  <c r="BH37" i="67"/>
  <c r="AP36" i="67"/>
  <c r="BE33" i="67"/>
  <c r="AU33" i="67"/>
  <c r="AP21" i="67"/>
  <c r="BE14" i="67"/>
  <c r="AU63" i="67"/>
  <c r="AP60" i="67"/>
  <c r="AU54" i="67"/>
  <c r="AZ83" i="67"/>
  <c r="BH67" i="67"/>
  <c r="AP67" i="67"/>
  <c r="AU64" i="67"/>
  <c r="AZ61" i="67"/>
  <c r="BH41" i="67"/>
  <c r="BH15" i="67"/>
  <c r="BH35" i="67"/>
  <c r="AZ31" i="67"/>
  <c r="BE27" i="67"/>
  <c r="AZ56" i="67"/>
  <c r="AP46" i="67"/>
  <c r="AP26" i="67"/>
  <c r="BE24" i="67"/>
  <c r="AU24" i="67"/>
  <c r="AU17" i="67"/>
  <c r="BH14" i="67"/>
  <c r="AP10" i="67"/>
  <c r="AU8" i="67"/>
  <c r="AZ48" i="67"/>
  <c r="AP48" i="67"/>
  <c r="AU34" i="67"/>
  <c r="AP19" i="67"/>
  <c r="BH30" i="67"/>
  <c r="AP35" i="67"/>
  <c r="AU31" i="67"/>
  <c r="AP27" i="67"/>
  <c r="AU15" i="67"/>
  <c r="AP11" i="67"/>
  <c r="BE32" i="67"/>
  <c r="AP29" i="67"/>
  <c r="BH27" i="67"/>
  <c r="BE16" i="67"/>
  <c r="AU16" i="67"/>
  <c r="AZ13" i="67"/>
  <c r="AP13" i="67"/>
  <c r="BH11" i="67"/>
  <c r="BH24" i="67"/>
  <c r="BH8" i="67"/>
  <c r="BJ29" i="67" l="1" a="1"/>
  <c r="BJ29" i="67" s="1"/>
  <c r="BJ93" i="67" a="1"/>
  <c r="BJ93" i="67" s="1"/>
  <c r="BE41" i="67"/>
  <c r="BJ51" i="67" a="1"/>
  <c r="BJ51" i="67" s="1"/>
  <c r="BE80" i="67"/>
  <c r="BJ80" i="67" s="1" a="1"/>
  <c r="BJ80" i="67" s="1"/>
  <c r="BJ16" i="67" a="1"/>
  <c r="BJ16" i="67" s="1"/>
  <c r="BJ11" i="67" a="1"/>
  <c r="BJ11" i="67" s="1"/>
  <c r="BE64" i="67"/>
  <c r="BE46" i="67"/>
  <c r="BJ33" i="67" a="1"/>
  <c r="BJ33" i="67" s="1"/>
  <c r="BJ84" i="67" a="1"/>
  <c r="BJ84" i="67" s="1"/>
  <c r="BJ98" i="67" a="1"/>
  <c r="BJ98" i="67" s="1"/>
  <c r="BE72" i="67"/>
  <c r="BJ72" i="67" s="1" a="1"/>
  <c r="BJ72" i="67" s="1"/>
  <c r="BE76" i="67"/>
  <c r="BJ76" i="67" s="1" a="1"/>
  <c r="BJ76" i="67" s="1"/>
  <c r="BJ57" i="67" a="1"/>
  <c r="BJ57" i="67" s="1"/>
  <c r="BE13" i="67"/>
  <c r="BJ13" i="67" s="1" a="1"/>
  <c r="BJ13" i="67" s="1"/>
  <c r="BH82" i="67"/>
  <c r="BJ8" i="67" a="1"/>
  <c r="BJ8" i="67" s="1"/>
  <c r="BE59" i="67"/>
  <c r="BJ59" i="67" s="1" a="1"/>
  <c r="BJ59" i="67" s="1"/>
  <c r="BH64" i="67"/>
  <c r="BE44" i="67"/>
  <c r="BJ24" i="67" a="1"/>
  <c r="BJ24" i="67" s="1"/>
  <c r="BJ14" i="67" a="1"/>
  <c r="BJ14" i="67" s="1"/>
  <c r="BE95" i="67"/>
  <c r="BJ95" i="67" s="1" a="1"/>
  <c r="BJ95" i="67" s="1"/>
  <c r="BE67" i="67"/>
  <c r="BH90" i="67"/>
  <c r="BJ49" i="67" a="1"/>
  <c r="BJ49" i="67" s="1"/>
  <c r="BH32" i="67"/>
  <c r="BJ46" i="67" a="1"/>
  <c r="BJ46" i="67" s="1"/>
  <c r="BJ41" i="67" a="1"/>
  <c r="BJ41" i="67" s="1"/>
  <c r="BE102" i="67"/>
  <c r="BJ102" i="67" s="1" a="1"/>
  <c r="BJ102" i="67" s="1"/>
  <c r="BJ27" i="67" a="1"/>
  <c r="BJ27" i="67" s="1"/>
  <c r="BE78" i="67"/>
  <c r="BH65" i="67"/>
  <c r="BJ65" i="67" s="1" a="1"/>
  <c r="BJ65" i="67" s="1"/>
  <c r="BE74" i="67"/>
  <c r="BE10" i="67"/>
  <c r="BH60" i="67"/>
  <c r="BE6" i="67"/>
  <c r="BE63" i="67"/>
  <c r="BJ63" i="67" s="1" a="1"/>
  <c r="BJ63" i="67" s="1"/>
  <c r="BE75" i="67"/>
  <c r="BE22" i="67"/>
  <c r="BE19" i="67"/>
  <c r="BE60" i="67"/>
  <c r="BH45" i="67"/>
  <c r="BE50" i="67"/>
  <c r="BE34" i="67"/>
  <c r="BE88" i="67"/>
  <c r="BJ88" i="67" s="1" a="1"/>
  <c r="BJ88" i="67" s="1"/>
  <c r="BE56" i="67"/>
  <c r="BE79" i="67"/>
  <c r="BJ79" i="67" s="1" a="1"/>
  <c r="BJ79" i="67" s="1"/>
  <c r="BE101" i="67"/>
  <c r="BE97" i="67"/>
  <c r="BJ97" i="67" s="1" a="1"/>
  <c r="BJ97" i="67" s="1"/>
  <c r="BE58" i="67"/>
  <c r="BJ58" i="67" s="1" a="1"/>
  <c r="BJ58" i="67" s="1"/>
  <c r="BE55" i="67"/>
  <c r="BE31" i="67"/>
  <c r="BE39" i="67"/>
  <c r="BJ39" i="67" s="1" a="1"/>
  <c r="BJ39" i="67" s="1"/>
  <c r="BH91" i="67"/>
  <c r="BJ91" i="67" s="1" a="1"/>
  <c r="BJ91" i="67" s="1"/>
  <c r="BE96" i="67"/>
  <c r="BH10" i="67"/>
  <c r="BE71" i="67"/>
  <c r="BE28" i="67"/>
  <c r="BJ28" i="67" s="1" a="1"/>
  <c r="BJ28" i="67" s="1"/>
  <c r="BE37" i="67"/>
  <c r="BH42" i="67"/>
  <c r="BJ42" i="67" s="1" a="1"/>
  <c r="BJ42" i="67" s="1"/>
  <c r="BE48" i="67"/>
  <c r="BE69" i="67"/>
  <c r="BE45" i="67"/>
  <c r="BE7" i="67"/>
  <c r="BJ7" i="67" s="1" a="1"/>
  <c r="BJ7" i="67" s="1"/>
  <c r="BE104" i="67"/>
  <c r="BJ104" i="67" s="1" a="1"/>
  <c r="BJ104" i="67" s="1"/>
  <c r="BE81" i="67"/>
  <c r="BH99" i="67"/>
  <c r="BE92" i="67"/>
  <c r="BE103" i="67"/>
  <c r="BE77" i="67"/>
  <c r="BE87" i="67"/>
  <c r="BJ87" i="67" s="1" a="1"/>
  <c r="BJ87" i="67" s="1"/>
  <c r="BH26" i="67"/>
  <c r="BE36" i="67"/>
  <c r="BH66" i="67"/>
  <c r="BJ66" i="67" s="1" a="1"/>
  <c r="BJ66" i="67" s="1"/>
  <c r="BE12" i="67"/>
  <c r="BE89" i="67"/>
  <c r="BJ89" i="67" s="1" a="1"/>
  <c r="BJ89" i="67" s="1"/>
  <c r="BE62" i="67"/>
  <c r="BJ62" i="67" s="1" a="1"/>
  <c r="BJ62" i="67" s="1"/>
  <c r="BE40" i="67"/>
  <c r="BH100" i="67"/>
  <c r="BJ100" i="67" s="1" a="1"/>
  <c r="BJ100" i="67" s="1"/>
  <c r="BH17" i="67"/>
  <c r="BE15" i="67"/>
  <c r="BJ15" i="67" s="1" a="1"/>
  <c r="BJ15" i="67" s="1"/>
  <c r="BH18" i="67"/>
  <c r="BJ18" i="67" s="1" a="1"/>
  <c r="BJ18" i="67" s="1"/>
  <c r="BE38" i="67"/>
  <c r="BJ38" i="67" s="1" a="1"/>
  <c r="BJ38" i="67" s="1"/>
  <c r="BE70" i="67"/>
  <c r="BE21" i="67"/>
  <c r="BH54" i="67"/>
  <c r="BJ54" i="67" s="1" a="1"/>
  <c r="BJ54" i="67" s="1"/>
  <c r="BE23" i="67"/>
  <c r="BJ23" i="67" s="1" a="1"/>
  <c r="BJ23" i="67" s="1"/>
  <c r="BE52" i="67"/>
  <c r="BE94" i="67"/>
  <c r="BH9" i="67"/>
  <c r="BJ9" i="67" s="1" a="1"/>
  <c r="BJ9" i="67" s="1"/>
  <c r="BH34" i="67"/>
  <c r="BE30" i="67"/>
  <c r="BJ30" i="67" s="1" a="1"/>
  <c r="BJ30" i="67" s="1"/>
  <c r="BH53" i="67"/>
  <c r="BJ53" i="67" s="1" a="1"/>
  <c r="BJ53" i="67" s="1"/>
  <c r="BE20" i="67"/>
  <c r="BH92" i="67"/>
  <c r="BE73" i="67"/>
  <c r="BE26" i="67"/>
  <c r="BH19" i="67"/>
  <c r="BJ19" i="67" s="1" a="1"/>
  <c r="BJ19" i="67" s="1"/>
  <c r="BH48" i="67"/>
  <c r="BE17" i="67"/>
  <c r="BE85" i="67"/>
  <c r="BH74" i="67"/>
  <c r="BH68" i="67"/>
  <c r="BJ68" i="67" s="1" a="1"/>
  <c r="BJ68" i="67" s="1"/>
  <c r="BH25" i="67"/>
  <c r="BJ25" i="67" s="1" a="1"/>
  <c r="BJ25" i="67" s="1"/>
  <c r="BE83" i="67"/>
  <c r="BE61" i="67"/>
  <c r="BE53" i="67"/>
  <c r="BE82" i="67"/>
  <c r="BE47" i="67"/>
  <c r="BE43" i="67"/>
  <c r="BE35" i="67"/>
  <c r="BH83" i="67"/>
  <c r="BE86" i="67"/>
  <c r="BJ45" i="67" l="1" a="1"/>
  <c r="BJ45" i="67" s="1"/>
  <c r="BJ43" i="67" a="1"/>
  <c r="BJ43" i="67" s="1"/>
  <c r="BJ61" i="67" a="1"/>
  <c r="BJ61" i="67" s="1"/>
  <c r="BJ96" i="67" a="1"/>
  <c r="BJ96" i="67" s="1"/>
  <c r="BJ85" i="67" a="1"/>
  <c r="BJ85" i="67" s="1"/>
  <c r="BJ75" i="67" a="1"/>
  <c r="BJ75" i="67" s="1"/>
  <c r="BJ94" i="67" a="1"/>
  <c r="BJ94" i="67" s="1"/>
  <c r="BJ101" i="67" a="1"/>
  <c r="BJ101" i="67" s="1"/>
  <c r="BJ37" i="67" a="1"/>
  <c r="BJ37" i="67" s="1"/>
  <c r="BJ86" i="67" a="1"/>
  <c r="BJ86" i="67" s="1"/>
  <c r="BJ52" i="67" a="1"/>
  <c r="BJ52" i="67" s="1"/>
  <c r="BJ40" i="67" a="1"/>
  <c r="BJ40" i="67" s="1"/>
  <c r="BJ103" i="67" a="1"/>
  <c r="BJ103" i="67" s="1"/>
  <c r="BJ10" i="67" a="1"/>
  <c r="BJ10" i="67" s="1"/>
  <c r="BJ55" i="67" a="1"/>
  <c r="BJ55" i="67" s="1"/>
  <c r="BJ47" i="67" a="1"/>
  <c r="BJ47" i="67" s="1"/>
  <c r="BJ20" i="67" a="1"/>
  <c r="BJ20" i="67" s="1"/>
  <c r="BJ70" i="67" a="1"/>
  <c r="BJ70" i="67" s="1"/>
  <c r="BJ22" i="67" a="1"/>
  <c r="BJ22" i="67" s="1"/>
  <c r="BJ50" i="67" a="1"/>
  <c r="BJ50" i="67" s="1"/>
  <c r="BJ36" i="67" a="1"/>
  <c r="BJ36" i="67" s="1"/>
  <c r="BJ74" i="67" a="1"/>
  <c r="BJ74" i="67" s="1"/>
  <c r="BJ44" i="67" a="1"/>
  <c r="BJ44" i="67" s="1"/>
  <c r="BJ73" i="67" a="1"/>
  <c r="BJ73" i="67" s="1"/>
  <c r="BJ21" i="67" a="1"/>
  <c r="BJ21" i="67" s="1"/>
  <c r="BJ81" i="67" a="1"/>
  <c r="BJ81" i="67" s="1"/>
  <c r="BJ69" i="67" a="1"/>
  <c r="BJ69" i="67" s="1"/>
  <c r="BJ6" i="67" a="1"/>
  <c r="BJ6" i="67" s="1"/>
  <c r="BJ78" i="67" a="1"/>
  <c r="BJ78" i="67" s="1"/>
  <c r="BJ56" i="67" a="1"/>
  <c r="BJ56" i="67" s="1"/>
  <c r="BJ67" i="67" a="1"/>
  <c r="BJ67" i="67" s="1"/>
  <c r="BJ35" i="67" a="1"/>
  <c r="BJ35" i="67" s="1"/>
  <c r="BJ12" i="67" a="1"/>
  <c r="BJ12" i="67" s="1"/>
  <c r="BJ77" i="67" a="1"/>
  <c r="BJ77" i="67" s="1"/>
  <c r="BJ71" i="67" a="1"/>
  <c r="BJ71" i="67" s="1"/>
  <c r="BJ31" i="67" a="1"/>
  <c r="BJ31" i="67" s="1"/>
  <c r="BJ90" i="67" a="1"/>
  <c r="BJ90" i="67" s="1"/>
  <c r="BJ64" i="67" a="1"/>
  <c r="BJ64" i="67" s="1"/>
  <c r="BJ32" i="67" a="1"/>
  <c r="BJ32" i="67" s="1"/>
  <c r="BJ60" i="67" a="1"/>
  <c r="BJ60" i="67" s="1"/>
  <c r="BJ17" i="67" a="1"/>
  <c r="BJ17" i="67" s="1"/>
  <c r="BJ92" i="67" a="1"/>
  <c r="BJ92" i="67" s="1"/>
  <c r="BJ26" i="67" a="1"/>
  <c r="BJ26" i="67" s="1"/>
  <c r="BJ82" i="67" a="1"/>
  <c r="BJ82" i="67" s="1"/>
  <c r="BJ83" i="67" a="1"/>
  <c r="BJ83" i="67" s="1"/>
  <c r="BJ34" i="67" a="1"/>
  <c r="BJ34" i="67" s="1"/>
  <c r="BJ99" i="67" a="1"/>
  <c r="BJ99" i="67" s="1"/>
  <c r="BJ48" i="67" a="1"/>
  <c r="BJ48" i="67" s="1"/>
  <c r="BA9" i="55" l="1"/>
  <c r="BB9" i="55"/>
  <c r="BC9" i="55"/>
  <c r="AZ9" i="55"/>
  <c r="AV9" i="55"/>
  <c r="AW9" i="55"/>
  <c r="AX9" i="55"/>
  <c r="AG9" i="55"/>
  <c r="AH9" i="55"/>
  <c r="AI9" i="55"/>
  <c r="BD9" i="55" l="1"/>
  <c r="BH9" i="55"/>
  <c r="BG9" i="55"/>
  <c r="BK9" i="55" a="1"/>
  <c r="BK9" i="55" s="1"/>
  <c r="G6" i="72" l="1"/>
  <c r="H6" i="72"/>
  <c r="I6" i="72"/>
  <c r="J6" i="72"/>
  <c r="M6" i="72"/>
  <c r="G7" i="72"/>
  <c r="H7" i="72"/>
  <c r="I7" i="72"/>
  <c r="J7" i="72"/>
  <c r="M7" i="72"/>
  <c r="G8" i="72"/>
  <c r="H8" i="72"/>
  <c r="J8" i="72" s="1"/>
  <c r="I8" i="72"/>
  <c r="G9" i="72"/>
  <c r="H9" i="72"/>
  <c r="J9" i="72" s="1"/>
  <c r="I9" i="72"/>
  <c r="G10" i="72"/>
  <c r="H10" i="72"/>
  <c r="J10" i="72" s="1"/>
  <c r="I10" i="72"/>
  <c r="G11" i="72"/>
  <c r="H11" i="72"/>
  <c r="I11" i="72"/>
  <c r="J11" i="72"/>
  <c r="M11" i="72" s="1"/>
  <c r="G12" i="72"/>
  <c r="H12" i="72"/>
  <c r="I12" i="72"/>
  <c r="J12" i="72"/>
  <c r="M12" i="72" s="1"/>
  <c r="G13" i="72"/>
  <c r="H13" i="72"/>
  <c r="I13" i="72"/>
  <c r="J13" i="72"/>
  <c r="G14" i="72"/>
  <c r="H14" i="72"/>
  <c r="I14" i="72"/>
  <c r="J14" i="72"/>
  <c r="M14" i="72"/>
  <c r="G15" i="72"/>
  <c r="H15" i="72"/>
  <c r="I15" i="72"/>
  <c r="J15" i="72"/>
  <c r="M15" i="72"/>
  <c r="G16" i="72"/>
  <c r="H16" i="72"/>
  <c r="J16" i="72" s="1"/>
  <c r="I16" i="72"/>
  <c r="G17" i="72"/>
  <c r="H17" i="72"/>
  <c r="J17" i="72" s="1"/>
  <c r="I17" i="72"/>
  <c r="G18" i="72"/>
  <c r="H18" i="72"/>
  <c r="J18" i="72" s="1"/>
  <c r="I18" i="72"/>
  <c r="G19" i="72"/>
  <c r="H19" i="72"/>
  <c r="I19" i="72"/>
  <c r="J19" i="72"/>
  <c r="M19" i="72" s="1"/>
  <c r="G20" i="72"/>
  <c r="H20" i="72"/>
  <c r="I20" i="72"/>
  <c r="J20" i="72"/>
  <c r="M20" i="72" s="1"/>
  <c r="G21" i="72"/>
  <c r="H21" i="72"/>
  <c r="I21" i="72"/>
  <c r="J21" i="72"/>
  <c r="G22" i="72"/>
  <c r="H22" i="72"/>
  <c r="I22" i="72"/>
  <c r="J22" i="72"/>
  <c r="M22" i="72"/>
  <c r="G23" i="72"/>
  <c r="H23" i="72"/>
  <c r="I23" i="72"/>
  <c r="J23" i="72"/>
  <c r="M23" i="72"/>
  <c r="G24" i="72"/>
  <c r="H24" i="72"/>
  <c r="J24" i="72" s="1"/>
  <c r="I24" i="72"/>
  <c r="R6" i="70"/>
  <c r="S6" i="70"/>
  <c r="T6" i="70"/>
  <c r="U6" i="70"/>
  <c r="V6" i="70"/>
  <c r="W6" i="70"/>
  <c r="X6" i="70"/>
  <c r="Y6" i="70"/>
  <c r="Z6" i="70"/>
  <c r="AA6" i="70"/>
  <c r="AD6" i="70"/>
  <c r="AE6" i="70"/>
  <c r="AG6" i="70"/>
  <c r="R7" i="70"/>
  <c r="S7" i="70"/>
  <c r="T7" i="70"/>
  <c r="U7" i="70"/>
  <c r="V7" i="70"/>
  <c r="W7" i="70"/>
  <c r="X7" i="70"/>
  <c r="Y7" i="70"/>
  <c r="Z7" i="70"/>
  <c r="AA7" i="70"/>
  <c r="AG7" i="70" s="1"/>
  <c r="AD7" i="70"/>
  <c r="AE7" i="70"/>
  <c r="R8" i="70"/>
  <c r="S8" i="70"/>
  <c r="T8" i="70"/>
  <c r="U8" i="70"/>
  <c r="V8" i="70"/>
  <c r="W8" i="70"/>
  <c r="X8" i="70"/>
  <c r="Y8" i="70"/>
  <c r="Z8" i="70"/>
  <c r="AA8" i="70"/>
  <c r="AG8" i="70" s="1"/>
  <c r="AD8" i="70"/>
  <c r="AE8" i="70"/>
  <c r="R9" i="70"/>
  <c r="S9" i="70"/>
  <c r="T9" i="70"/>
  <c r="U9" i="70"/>
  <c r="V9" i="70"/>
  <c r="W9" i="70"/>
  <c r="X9" i="70"/>
  <c r="Y9" i="70"/>
  <c r="Z9" i="70"/>
  <c r="AA9" i="70"/>
  <c r="AG9" i="70" s="1"/>
  <c r="AD9" i="70"/>
  <c r="AE9" i="70"/>
  <c r="R10" i="70"/>
  <c r="S10" i="70"/>
  <c r="T10" i="70"/>
  <c r="U10" i="70"/>
  <c r="V10" i="70"/>
  <c r="W10" i="70"/>
  <c r="X10" i="70"/>
  <c r="Y10" i="70"/>
  <c r="Z10" i="70"/>
  <c r="AA10" i="70"/>
  <c r="AG10" i="70" s="1"/>
  <c r="AD10" i="70"/>
  <c r="AE10" i="70"/>
  <c r="R11" i="70"/>
  <c r="S11" i="70"/>
  <c r="T11" i="70"/>
  <c r="U11" i="70"/>
  <c r="V11" i="70"/>
  <c r="W11" i="70"/>
  <c r="X11" i="70"/>
  <c r="Y11" i="70"/>
  <c r="Z11" i="70"/>
  <c r="AA11" i="70"/>
  <c r="AG11" i="70" s="1"/>
  <c r="AD11" i="70"/>
  <c r="AE11" i="70"/>
  <c r="R12" i="70"/>
  <c r="S12" i="70"/>
  <c r="T12" i="70"/>
  <c r="U12" i="70"/>
  <c r="V12" i="70"/>
  <c r="W12" i="70"/>
  <c r="X12" i="70"/>
  <c r="Y12" i="70"/>
  <c r="Z12" i="70"/>
  <c r="AA12" i="70"/>
  <c r="AG12" i="70" s="1"/>
  <c r="AD12" i="70"/>
  <c r="AE12" i="70"/>
  <c r="R13" i="70"/>
  <c r="S13" i="70"/>
  <c r="T13" i="70"/>
  <c r="U13" i="70"/>
  <c r="V13" i="70"/>
  <c r="W13" i="70"/>
  <c r="X13" i="70"/>
  <c r="Y13" i="70"/>
  <c r="Z13" i="70"/>
  <c r="AA13" i="70"/>
  <c r="AG13" i="70" s="1"/>
  <c r="AD13" i="70"/>
  <c r="AE13" i="70"/>
  <c r="R14" i="70"/>
  <c r="S14" i="70"/>
  <c r="T14" i="70"/>
  <c r="U14" i="70"/>
  <c r="V14" i="70"/>
  <c r="W14" i="70"/>
  <c r="X14" i="70"/>
  <c r="Y14" i="70"/>
  <c r="Z14" i="70"/>
  <c r="AA14" i="70"/>
  <c r="AG14" i="70" s="1"/>
  <c r="AD14" i="70"/>
  <c r="AE14" i="70"/>
  <c r="R15" i="70"/>
  <c r="S15" i="70"/>
  <c r="T15" i="70"/>
  <c r="U15" i="70"/>
  <c r="V15" i="70"/>
  <c r="W15" i="70"/>
  <c r="X15" i="70"/>
  <c r="Y15" i="70"/>
  <c r="Z15" i="70"/>
  <c r="AA15" i="70"/>
  <c r="AG15" i="70" s="1"/>
  <c r="AD15" i="70"/>
  <c r="AE15" i="70"/>
  <c r="R16" i="70"/>
  <c r="S16" i="70"/>
  <c r="T16" i="70"/>
  <c r="U16" i="70"/>
  <c r="V16" i="70"/>
  <c r="W16" i="70"/>
  <c r="X16" i="70"/>
  <c r="Y16" i="70"/>
  <c r="Z16" i="70"/>
  <c r="AA16" i="70"/>
  <c r="AG16" i="70" s="1"/>
  <c r="AD16" i="70"/>
  <c r="AE16" i="70"/>
  <c r="R17" i="70"/>
  <c r="S17" i="70"/>
  <c r="T17" i="70"/>
  <c r="U17" i="70"/>
  <c r="V17" i="70"/>
  <c r="W17" i="70"/>
  <c r="X17" i="70"/>
  <c r="Y17" i="70"/>
  <c r="Z17" i="70"/>
  <c r="AA17" i="70"/>
  <c r="AG17" i="70" s="1"/>
  <c r="AD17" i="70"/>
  <c r="AE17" i="70"/>
  <c r="R18" i="70"/>
  <c r="S18" i="70"/>
  <c r="T18" i="70"/>
  <c r="U18" i="70"/>
  <c r="V18" i="70"/>
  <c r="W18" i="70"/>
  <c r="X18" i="70"/>
  <c r="Y18" i="70"/>
  <c r="Z18" i="70"/>
  <c r="AA18" i="70"/>
  <c r="AG18" i="70" s="1"/>
  <c r="AD18" i="70"/>
  <c r="AE18" i="70"/>
  <c r="R19" i="70"/>
  <c r="S19" i="70"/>
  <c r="T19" i="70"/>
  <c r="U19" i="70"/>
  <c r="V19" i="70"/>
  <c r="W19" i="70"/>
  <c r="X19" i="70"/>
  <c r="Y19" i="70"/>
  <c r="Z19" i="70"/>
  <c r="AA19" i="70"/>
  <c r="AG19" i="70" s="1"/>
  <c r="AD19" i="70"/>
  <c r="AE19" i="70"/>
  <c r="R20" i="70"/>
  <c r="S20" i="70"/>
  <c r="T20" i="70"/>
  <c r="U20" i="70"/>
  <c r="V20" i="70"/>
  <c r="W20" i="70"/>
  <c r="X20" i="70"/>
  <c r="Y20" i="70"/>
  <c r="Z20" i="70"/>
  <c r="AA20" i="70"/>
  <c r="AG20" i="70" s="1"/>
  <c r="AD20" i="70"/>
  <c r="AE20" i="70"/>
  <c r="R21" i="70"/>
  <c r="S21" i="70"/>
  <c r="T21" i="70"/>
  <c r="U21" i="70"/>
  <c r="V21" i="70"/>
  <c r="W21" i="70"/>
  <c r="X21" i="70"/>
  <c r="Y21" i="70"/>
  <c r="Z21" i="70"/>
  <c r="AA21" i="70"/>
  <c r="AG21" i="70" s="1"/>
  <c r="AD21" i="70"/>
  <c r="AE21" i="70"/>
  <c r="R22" i="70"/>
  <c r="S22" i="70"/>
  <c r="T22" i="70"/>
  <c r="U22" i="70"/>
  <c r="V22" i="70"/>
  <c r="W22" i="70"/>
  <c r="X22" i="70"/>
  <c r="Y22" i="70"/>
  <c r="Z22" i="70"/>
  <c r="AA22" i="70"/>
  <c r="AG22" i="70" s="1"/>
  <c r="AD22" i="70"/>
  <c r="AE22" i="70"/>
  <c r="R23" i="70"/>
  <c r="S23" i="70"/>
  <c r="T23" i="70"/>
  <c r="U23" i="70"/>
  <c r="V23" i="70"/>
  <c r="W23" i="70"/>
  <c r="X23" i="70"/>
  <c r="Y23" i="70"/>
  <c r="Z23" i="70"/>
  <c r="AA23" i="70"/>
  <c r="AG23" i="70" s="1"/>
  <c r="AD23" i="70"/>
  <c r="AE23" i="70"/>
  <c r="R24" i="70"/>
  <c r="S24" i="70"/>
  <c r="T24" i="70"/>
  <c r="U24" i="70"/>
  <c r="V24" i="70"/>
  <c r="W24" i="70"/>
  <c r="X24" i="70"/>
  <c r="Y24" i="70"/>
  <c r="Z24" i="70"/>
  <c r="AA24" i="70"/>
  <c r="AG24" i="70" s="1"/>
  <c r="AD24" i="70"/>
  <c r="AE24" i="70"/>
  <c r="R25" i="70"/>
  <c r="S25" i="70"/>
  <c r="T25" i="70"/>
  <c r="U25" i="70"/>
  <c r="V25" i="70"/>
  <c r="W25" i="70"/>
  <c r="X25" i="70"/>
  <c r="Y25" i="70"/>
  <c r="Z25" i="70"/>
  <c r="AA25" i="70"/>
  <c r="AG25" i="70" s="1"/>
  <c r="AD25" i="70"/>
  <c r="AE25" i="70"/>
  <c r="R26" i="70"/>
  <c r="S26" i="70"/>
  <c r="T26" i="70"/>
  <c r="U26" i="70"/>
  <c r="V26" i="70"/>
  <c r="W26" i="70"/>
  <c r="X26" i="70"/>
  <c r="Y26" i="70"/>
  <c r="Z26" i="70"/>
  <c r="AA26" i="70"/>
  <c r="AG26" i="70" s="1"/>
  <c r="AD26" i="70"/>
  <c r="AE26" i="70"/>
  <c r="R27" i="70"/>
  <c r="S27" i="70"/>
  <c r="T27" i="70"/>
  <c r="U27" i="70"/>
  <c r="V27" i="70"/>
  <c r="W27" i="70"/>
  <c r="X27" i="70"/>
  <c r="Y27" i="70"/>
  <c r="Z27" i="70"/>
  <c r="AA27" i="70"/>
  <c r="AG27" i="70" s="1"/>
  <c r="AD27" i="70"/>
  <c r="AE27" i="70"/>
  <c r="R28" i="70"/>
  <c r="S28" i="70"/>
  <c r="T28" i="70"/>
  <c r="U28" i="70"/>
  <c r="V28" i="70"/>
  <c r="W28" i="70"/>
  <c r="X28" i="70"/>
  <c r="Y28" i="70"/>
  <c r="Z28" i="70"/>
  <c r="AA28" i="70"/>
  <c r="AG28" i="70" s="1"/>
  <c r="AD28" i="70"/>
  <c r="AE28" i="70"/>
  <c r="R29" i="70"/>
  <c r="S29" i="70"/>
  <c r="T29" i="70"/>
  <c r="U29" i="70"/>
  <c r="V29" i="70"/>
  <c r="W29" i="70"/>
  <c r="X29" i="70"/>
  <c r="Y29" i="70"/>
  <c r="Z29" i="70"/>
  <c r="AA29" i="70"/>
  <c r="AG29" i="70" s="1"/>
  <c r="AD29" i="70"/>
  <c r="AE29" i="70"/>
  <c r="R30" i="70"/>
  <c r="S30" i="70"/>
  <c r="T30" i="70"/>
  <c r="U30" i="70"/>
  <c r="V30" i="70"/>
  <c r="W30" i="70"/>
  <c r="X30" i="70"/>
  <c r="Y30" i="70"/>
  <c r="Z30" i="70"/>
  <c r="AA30" i="70"/>
  <c r="AG30" i="70" s="1"/>
  <c r="AD30" i="70"/>
  <c r="AE30" i="70"/>
  <c r="R31" i="70"/>
  <c r="S31" i="70"/>
  <c r="T31" i="70"/>
  <c r="U31" i="70"/>
  <c r="V31" i="70"/>
  <c r="W31" i="70"/>
  <c r="X31" i="70"/>
  <c r="Y31" i="70"/>
  <c r="Z31" i="70"/>
  <c r="AA31" i="70"/>
  <c r="AG31" i="70" s="1"/>
  <c r="AD31" i="70"/>
  <c r="AE31" i="70"/>
  <c r="R32" i="70"/>
  <c r="S32" i="70"/>
  <c r="T32" i="70"/>
  <c r="U32" i="70"/>
  <c r="V32" i="70"/>
  <c r="W32" i="70"/>
  <c r="X32" i="70"/>
  <c r="Y32" i="70"/>
  <c r="Z32" i="70"/>
  <c r="AA32" i="70"/>
  <c r="AG32" i="70" s="1"/>
  <c r="AD32" i="70"/>
  <c r="AE32" i="70"/>
  <c r="R33" i="70"/>
  <c r="S33" i="70"/>
  <c r="T33" i="70"/>
  <c r="U33" i="70"/>
  <c r="V33" i="70"/>
  <c r="W33" i="70"/>
  <c r="X33" i="70"/>
  <c r="Y33" i="70"/>
  <c r="Z33" i="70"/>
  <c r="AA33" i="70"/>
  <c r="AG33" i="70" s="1"/>
  <c r="AD33" i="70"/>
  <c r="AE33" i="70"/>
  <c r="R34" i="70"/>
  <c r="S34" i="70"/>
  <c r="T34" i="70"/>
  <c r="U34" i="70"/>
  <c r="V34" i="70"/>
  <c r="W34" i="70"/>
  <c r="X34" i="70"/>
  <c r="Y34" i="70"/>
  <c r="Z34" i="70"/>
  <c r="AA34" i="70"/>
  <c r="AG34" i="70" s="1"/>
  <c r="AD34" i="70"/>
  <c r="AE34" i="70"/>
  <c r="R35" i="70"/>
  <c r="S35" i="70"/>
  <c r="T35" i="70"/>
  <c r="U35" i="70"/>
  <c r="V35" i="70"/>
  <c r="W35" i="70"/>
  <c r="X35" i="70"/>
  <c r="Y35" i="70"/>
  <c r="Z35" i="70"/>
  <c r="AA35" i="70"/>
  <c r="AG35" i="70" s="1"/>
  <c r="AD35" i="70"/>
  <c r="AE35" i="70"/>
  <c r="R36" i="70"/>
  <c r="S36" i="70"/>
  <c r="T36" i="70"/>
  <c r="U36" i="70"/>
  <c r="V36" i="70"/>
  <c r="W36" i="70"/>
  <c r="X36" i="70"/>
  <c r="Y36" i="70"/>
  <c r="Z36" i="70"/>
  <c r="AA36" i="70"/>
  <c r="AG36" i="70" s="1"/>
  <c r="AD36" i="70"/>
  <c r="AE36" i="70"/>
  <c r="R37" i="70"/>
  <c r="S37" i="70"/>
  <c r="T37" i="70"/>
  <c r="U37" i="70"/>
  <c r="V37" i="70"/>
  <c r="W37" i="70"/>
  <c r="X37" i="70"/>
  <c r="Y37" i="70"/>
  <c r="Z37" i="70"/>
  <c r="AA37" i="70"/>
  <c r="AG37" i="70" s="1"/>
  <c r="AD37" i="70"/>
  <c r="AE37" i="70"/>
  <c r="R38" i="70"/>
  <c r="S38" i="70"/>
  <c r="T38" i="70"/>
  <c r="U38" i="70"/>
  <c r="V38" i="70"/>
  <c r="W38" i="70"/>
  <c r="X38" i="70"/>
  <c r="Y38" i="70"/>
  <c r="Z38" i="70"/>
  <c r="AA38" i="70"/>
  <c r="AG38" i="70" s="1"/>
  <c r="AD38" i="70"/>
  <c r="AE38" i="70"/>
  <c r="R39" i="70"/>
  <c r="S39" i="70"/>
  <c r="T39" i="70"/>
  <c r="U39" i="70"/>
  <c r="V39" i="70"/>
  <c r="W39" i="70"/>
  <c r="X39" i="70"/>
  <c r="Y39" i="70"/>
  <c r="Z39" i="70"/>
  <c r="AA39" i="70"/>
  <c r="AG39" i="70" s="1"/>
  <c r="AD39" i="70"/>
  <c r="AE39" i="70"/>
  <c r="R40" i="70"/>
  <c r="S40" i="70"/>
  <c r="T40" i="70"/>
  <c r="U40" i="70"/>
  <c r="V40" i="70"/>
  <c r="W40" i="70"/>
  <c r="X40" i="70"/>
  <c r="Y40" i="70"/>
  <c r="Z40" i="70"/>
  <c r="AA40" i="70"/>
  <c r="AG40" i="70" s="1"/>
  <c r="AD40" i="70"/>
  <c r="AE40" i="70"/>
  <c r="R41" i="70"/>
  <c r="S41" i="70"/>
  <c r="T41" i="70"/>
  <c r="U41" i="70"/>
  <c r="V41" i="70"/>
  <c r="W41" i="70"/>
  <c r="X41" i="70"/>
  <c r="Y41" i="70"/>
  <c r="Z41" i="70"/>
  <c r="AA41" i="70"/>
  <c r="AG41" i="70" s="1"/>
  <c r="AD41" i="70"/>
  <c r="AE41" i="70"/>
  <c r="R42" i="70"/>
  <c r="S42" i="70"/>
  <c r="T42" i="70"/>
  <c r="U42" i="70"/>
  <c r="V42" i="70"/>
  <c r="W42" i="70"/>
  <c r="X42" i="70"/>
  <c r="Y42" i="70"/>
  <c r="Z42" i="70"/>
  <c r="AA42" i="70"/>
  <c r="AG42" i="70" s="1"/>
  <c r="AD42" i="70"/>
  <c r="AE42" i="70"/>
  <c r="R43" i="70"/>
  <c r="S43" i="70"/>
  <c r="T43" i="70"/>
  <c r="U43" i="70"/>
  <c r="V43" i="70"/>
  <c r="W43" i="70"/>
  <c r="X43" i="70"/>
  <c r="Y43" i="70"/>
  <c r="Z43" i="70"/>
  <c r="AA43" i="70"/>
  <c r="AG43" i="70" s="1"/>
  <c r="AD43" i="70"/>
  <c r="AE43" i="70"/>
  <c r="R44" i="70"/>
  <c r="S44" i="70"/>
  <c r="T44" i="70"/>
  <c r="U44" i="70"/>
  <c r="V44" i="70"/>
  <c r="W44" i="70"/>
  <c r="X44" i="70"/>
  <c r="Y44" i="70"/>
  <c r="Z44" i="70"/>
  <c r="AA44" i="70"/>
  <c r="AG44" i="70" s="1"/>
  <c r="AD44" i="70"/>
  <c r="AE44" i="70"/>
  <c r="R45" i="70"/>
  <c r="S45" i="70"/>
  <c r="T45" i="70"/>
  <c r="U45" i="70"/>
  <c r="V45" i="70"/>
  <c r="W45" i="70"/>
  <c r="X45" i="70"/>
  <c r="Y45" i="70"/>
  <c r="Z45" i="70"/>
  <c r="AA45" i="70"/>
  <c r="AG45" i="70" s="1"/>
  <c r="AD45" i="70"/>
  <c r="AE45" i="70"/>
  <c r="R46" i="70"/>
  <c r="S46" i="70"/>
  <c r="T46" i="70"/>
  <c r="U46" i="70"/>
  <c r="V46" i="70"/>
  <c r="W46" i="70"/>
  <c r="X46" i="70"/>
  <c r="Y46" i="70"/>
  <c r="Z46" i="70"/>
  <c r="AA46" i="70"/>
  <c r="AG46" i="70" s="1"/>
  <c r="AD46" i="70"/>
  <c r="AE46" i="70"/>
  <c r="R47" i="70"/>
  <c r="S47" i="70"/>
  <c r="T47" i="70"/>
  <c r="U47" i="70"/>
  <c r="V47" i="70"/>
  <c r="W47" i="70"/>
  <c r="X47" i="70"/>
  <c r="Y47" i="70"/>
  <c r="Z47" i="70"/>
  <c r="AA47" i="70"/>
  <c r="AG47" i="70" s="1"/>
  <c r="AD47" i="70"/>
  <c r="AE47" i="70"/>
  <c r="R48" i="70"/>
  <c r="S48" i="70"/>
  <c r="T48" i="70"/>
  <c r="U48" i="70"/>
  <c r="V48" i="70"/>
  <c r="W48" i="70"/>
  <c r="X48" i="70"/>
  <c r="Y48" i="70"/>
  <c r="Z48" i="70"/>
  <c r="AA48" i="70"/>
  <c r="AG48" i="70" s="1"/>
  <c r="AD48" i="70"/>
  <c r="AE48" i="70"/>
  <c r="R49" i="70"/>
  <c r="S49" i="70"/>
  <c r="T49" i="70"/>
  <c r="U49" i="70"/>
  <c r="V49" i="70"/>
  <c r="W49" i="70"/>
  <c r="X49" i="70"/>
  <c r="Y49" i="70"/>
  <c r="Z49" i="70"/>
  <c r="AA49" i="70"/>
  <c r="AG49" i="70" s="1"/>
  <c r="AD49" i="70"/>
  <c r="AE49" i="70"/>
  <c r="R50" i="70"/>
  <c r="S50" i="70"/>
  <c r="T50" i="70"/>
  <c r="U50" i="70"/>
  <c r="V50" i="70"/>
  <c r="W50" i="70"/>
  <c r="X50" i="70"/>
  <c r="Y50" i="70"/>
  <c r="Z50" i="70"/>
  <c r="AA50" i="70"/>
  <c r="AG50" i="70" s="1"/>
  <c r="AD50" i="70"/>
  <c r="AE50" i="70"/>
  <c r="R51" i="70"/>
  <c r="S51" i="70"/>
  <c r="T51" i="70"/>
  <c r="U51" i="70"/>
  <c r="V51" i="70"/>
  <c r="W51" i="70"/>
  <c r="X51" i="70"/>
  <c r="Y51" i="70"/>
  <c r="Z51" i="70"/>
  <c r="AA51" i="70"/>
  <c r="AG51" i="70" s="1"/>
  <c r="AD51" i="70"/>
  <c r="AE51" i="70"/>
  <c r="R52" i="70"/>
  <c r="S52" i="70"/>
  <c r="T52" i="70"/>
  <c r="U52" i="70"/>
  <c r="V52" i="70"/>
  <c r="W52" i="70"/>
  <c r="X52" i="70"/>
  <c r="Y52" i="70"/>
  <c r="Z52" i="70"/>
  <c r="AA52" i="70"/>
  <c r="AG52" i="70" s="1"/>
  <c r="AD52" i="70"/>
  <c r="AE52" i="70"/>
  <c r="R53" i="70"/>
  <c r="S53" i="70"/>
  <c r="T53" i="70"/>
  <c r="U53" i="70"/>
  <c r="V53" i="70"/>
  <c r="W53" i="70"/>
  <c r="X53" i="70"/>
  <c r="Y53" i="70"/>
  <c r="Z53" i="70"/>
  <c r="AA53" i="70"/>
  <c r="AG53" i="70" s="1"/>
  <c r="AD53" i="70"/>
  <c r="AE53" i="70"/>
  <c r="R54" i="70"/>
  <c r="S54" i="70"/>
  <c r="T54" i="70"/>
  <c r="U54" i="70"/>
  <c r="V54" i="70"/>
  <c r="W54" i="70"/>
  <c r="X54" i="70"/>
  <c r="Y54" i="70"/>
  <c r="Z54" i="70"/>
  <c r="AA54" i="70"/>
  <c r="AG54" i="70" s="1"/>
  <c r="AD54" i="70"/>
  <c r="AE54" i="70"/>
  <c r="R55" i="70"/>
  <c r="S55" i="70"/>
  <c r="T55" i="70"/>
  <c r="U55" i="70"/>
  <c r="V55" i="70"/>
  <c r="W55" i="70"/>
  <c r="X55" i="70"/>
  <c r="Y55" i="70"/>
  <c r="Z55" i="70"/>
  <c r="AA55" i="70"/>
  <c r="AG55" i="70" s="1"/>
  <c r="AD55" i="70"/>
  <c r="AE55" i="70"/>
  <c r="R56" i="70"/>
  <c r="S56" i="70"/>
  <c r="T56" i="70"/>
  <c r="U56" i="70"/>
  <c r="V56" i="70"/>
  <c r="W56" i="70"/>
  <c r="X56" i="70"/>
  <c r="Y56" i="70"/>
  <c r="Z56" i="70"/>
  <c r="AA56" i="70"/>
  <c r="AG56" i="70" s="1"/>
  <c r="AD56" i="70"/>
  <c r="AE56" i="70"/>
  <c r="R57" i="70"/>
  <c r="S57" i="70"/>
  <c r="T57" i="70"/>
  <c r="U57" i="70"/>
  <c r="V57" i="70"/>
  <c r="W57" i="70"/>
  <c r="X57" i="70"/>
  <c r="Y57" i="70"/>
  <c r="Z57" i="70"/>
  <c r="AA57" i="70"/>
  <c r="AG57" i="70" s="1"/>
  <c r="AD57" i="70"/>
  <c r="AE57" i="70"/>
  <c r="R58" i="70"/>
  <c r="S58" i="70"/>
  <c r="T58" i="70"/>
  <c r="U58" i="70"/>
  <c r="V58" i="70"/>
  <c r="W58" i="70"/>
  <c r="X58" i="70"/>
  <c r="Y58" i="70"/>
  <c r="Z58" i="70"/>
  <c r="AA58" i="70"/>
  <c r="AG58" i="70" s="1"/>
  <c r="AD58" i="70"/>
  <c r="AE58" i="70"/>
  <c r="R59" i="70"/>
  <c r="S59" i="70"/>
  <c r="T59" i="70"/>
  <c r="U59" i="70"/>
  <c r="V59" i="70"/>
  <c r="W59" i="70"/>
  <c r="X59" i="70"/>
  <c r="Y59" i="70"/>
  <c r="Z59" i="70"/>
  <c r="AA59" i="70"/>
  <c r="AG59" i="70" s="1"/>
  <c r="AD59" i="70"/>
  <c r="AE59" i="70"/>
  <c r="R60" i="70"/>
  <c r="S60" i="70"/>
  <c r="T60" i="70"/>
  <c r="U60" i="70"/>
  <c r="V60" i="70"/>
  <c r="W60" i="70"/>
  <c r="X60" i="70"/>
  <c r="Y60" i="70"/>
  <c r="Z60" i="70"/>
  <c r="AA60" i="70"/>
  <c r="AG60" i="70" s="1"/>
  <c r="AD60" i="70"/>
  <c r="AE60" i="70"/>
  <c r="R61" i="70"/>
  <c r="S61" i="70"/>
  <c r="T61" i="70"/>
  <c r="U61" i="70"/>
  <c r="V61" i="70"/>
  <c r="W61" i="70"/>
  <c r="X61" i="70"/>
  <c r="Y61" i="70"/>
  <c r="Z61" i="70"/>
  <c r="AA61" i="70"/>
  <c r="AG61" i="70" s="1"/>
  <c r="AD61" i="70"/>
  <c r="AE61" i="70"/>
  <c r="R62" i="70"/>
  <c r="S62" i="70"/>
  <c r="T62" i="70"/>
  <c r="U62" i="70"/>
  <c r="V62" i="70"/>
  <c r="W62" i="70"/>
  <c r="X62" i="70"/>
  <c r="Y62" i="70"/>
  <c r="Z62" i="70"/>
  <c r="AA62" i="70"/>
  <c r="AG62" i="70" s="1"/>
  <c r="AD62" i="70"/>
  <c r="AE62" i="70"/>
  <c r="R63" i="70"/>
  <c r="S63" i="70"/>
  <c r="T63" i="70"/>
  <c r="U63" i="70"/>
  <c r="V63" i="70"/>
  <c r="W63" i="70"/>
  <c r="X63" i="70"/>
  <c r="Y63" i="70"/>
  <c r="Z63" i="70"/>
  <c r="AA63" i="70"/>
  <c r="AG63" i="70" s="1"/>
  <c r="AD63" i="70"/>
  <c r="AE63" i="70"/>
  <c r="R64" i="70"/>
  <c r="S64" i="70"/>
  <c r="T64" i="70"/>
  <c r="U64" i="70"/>
  <c r="V64" i="70"/>
  <c r="W64" i="70"/>
  <c r="X64" i="70"/>
  <c r="Y64" i="70"/>
  <c r="Z64" i="70"/>
  <c r="AA64" i="70"/>
  <c r="AG64" i="70" s="1"/>
  <c r="AD64" i="70"/>
  <c r="AE64" i="70"/>
  <c r="R65" i="70"/>
  <c r="S65" i="70"/>
  <c r="T65" i="70"/>
  <c r="U65" i="70"/>
  <c r="V65" i="70"/>
  <c r="W65" i="70"/>
  <c r="X65" i="70"/>
  <c r="Y65" i="70"/>
  <c r="Z65" i="70"/>
  <c r="AA65" i="70"/>
  <c r="AG65" i="70" s="1"/>
  <c r="AD65" i="70"/>
  <c r="AE65" i="70"/>
  <c r="R66" i="70"/>
  <c r="S66" i="70"/>
  <c r="T66" i="70"/>
  <c r="U66" i="70"/>
  <c r="V66" i="70"/>
  <c r="W66" i="70"/>
  <c r="X66" i="70"/>
  <c r="Y66" i="70"/>
  <c r="Z66" i="70"/>
  <c r="AA66" i="70"/>
  <c r="AG66" i="70" s="1"/>
  <c r="AD66" i="70"/>
  <c r="AE66" i="70"/>
  <c r="R67" i="70"/>
  <c r="S67" i="70"/>
  <c r="T67" i="70"/>
  <c r="U67" i="70"/>
  <c r="V67" i="70"/>
  <c r="W67" i="70"/>
  <c r="X67" i="70"/>
  <c r="Y67" i="70"/>
  <c r="Z67" i="70"/>
  <c r="AA67" i="70"/>
  <c r="AG67" i="70" s="1"/>
  <c r="AD67" i="70"/>
  <c r="AE67" i="70"/>
  <c r="R68" i="70"/>
  <c r="S68" i="70"/>
  <c r="T68" i="70"/>
  <c r="U68" i="70"/>
  <c r="V68" i="70"/>
  <c r="W68" i="70"/>
  <c r="X68" i="70"/>
  <c r="Y68" i="70"/>
  <c r="Z68" i="70"/>
  <c r="AA68" i="70"/>
  <c r="AG68" i="70" s="1"/>
  <c r="AD68" i="70"/>
  <c r="AE68" i="70"/>
  <c r="R69" i="70"/>
  <c r="S69" i="70"/>
  <c r="T69" i="70"/>
  <c r="U69" i="70"/>
  <c r="V69" i="70"/>
  <c r="W69" i="70"/>
  <c r="X69" i="70"/>
  <c r="Y69" i="70"/>
  <c r="Z69" i="70"/>
  <c r="AA69" i="70"/>
  <c r="AG69" i="70" s="1"/>
  <c r="AD69" i="70"/>
  <c r="AE69" i="70"/>
  <c r="R70" i="70"/>
  <c r="S70" i="70"/>
  <c r="T70" i="70"/>
  <c r="U70" i="70"/>
  <c r="V70" i="70"/>
  <c r="W70" i="70"/>
  <c r="X70" i="70"/>
  <c r="Y70" i="70"/>
  <c r="Z70" i="70"/>
  <c r="AA70" i="70"/>
  <c r="AG70" i="70" s="1"/>
  <c r="AD70" i="70"/>
  <c r="AE70" i="70"/>
  <c r="R71" i="70"/>
  <c r="S71" i="70"/>
  <c r="T71" i="70"/>
  <c r="U71" i="70"/>
  <c r="V71" i="70"/>
  <c r="W71" i="70"/>
  <c r="X71" i="70"/>
  <c r="Y71" i="70"/>
  <c r="Z71" i="70"/>
  <c r="AA71" i="70"/>
  <c r="AG71" i="70" s="1"/>
  <c r="AD71" i="70"/>
  <c r="AE71" i="70"/>
  <c r="R72" i="70"/>
  <c r="S72" i="70"/>
  <c r="T72" i="70"/>
  <c r="U72" i="70"/>
  <c r="V72" i="70"/>
  <c r="W72" i="70"/>
  <c r="X72" i="70"/>
  <c r="Y72" i="70"/>
  <c r="Z72" i="70"/>
  <c r="AA72" i="70"/>
  <c r="AG72" i="70" s="1"/>
  <c r="AD72" i="70"/>
  <c r="AE72" i="70"/>
  <c r="R73" i="70"/>
  <c r="S73" i="70"/>
  <c r="T73" i="70"/>
  <c r="U73" i="70"/>
  <c r="V73" i="70"/>
  <c r="W73" i="70"/>
  <c r="X73" i="70"/>
  <c r="Y73" i="70"/>
  <c r="Z73" i="70"/>
  <c r="AA73" i="70"/>
  <c r="AG73" i="70" s="1"/>
  <c r="AD73" i="70"/>
  <c r="AE73" i="70"/>
  <c r="R74" i="70"/>
  <c r="S74" i="70"/>
  <c r="T74" i="70"/>
  <c r="U74" i="70"/>
  <c r="V74" i="70"/>
  <c r="W74" i="70"/>
  <c r="X74" i="70"/>
  <c r="Y74" i="70"/>
  <c r="Z74" i="70"/>
  <c r="AA74" i="70"/>
  <c r="AG74" i="70" s="1"/>
  <c r="AD74" i="70"/>
  <c r="AE74" i="70"/>
  <c r="R75" i="70"/>
  <c r="S75" i="70"/>
  <c r="T75" i="70"/>
  <c r="U75" i="70"/>
  <c r="V75" i="70"/>
  <c r="W75" i="70"/>
  <c r="X75" i="70"/>
  <c r="Y75" i="70"/>
  <c r="Z75" i="70"/>
  <c r="AA75" i="70"/>
  <c r="AG75" i="70" s="1"/>
  <c r="AD75" i="70"/>
  <c r="AE75" i="70"/>
  <c r="R76" i="70"/>
  <c r="S76" i="70"/>
  <c r="T76" i="70"/>
  <c r="U76" i="70"/>
  <c r="V76" i="70"/>
  <c r="W76" i="70"/>
  <c r="X76" i="70"/>
  <c r="Y76" i="70"/>
  <c r="Z76" i="70"/>
  <c r="AA76" i="70"/>
  <c r="AG76" i="70" s="1"/>
  <c r="AD76" i="70"/>
  <c r="AE76" i="70"/>
  <c r="R77" i="70"/>
  <c r="S77" i="70"/>
  <c r="T77" i="70"/>
  <c r="U77" i="70"/>
  <c r="V77" i="70"/>
  <c r="W77" i="70"/>
  <c r="X77" i="70"/>
  <c r="Y77" i="70"/>
  <c r="Z77" i="70"/>
  <c r="AA77" i="70"/>
  <c r="AG77" i="70" s="1"/>
  <c r="AD77" i="70"/>
  <c r="AE77" i="70"/>
  <c r="R78" i="70"/>
  <c r="S78" i="70"/>
  <c r="T78" i="70"/>
  <c r="U78" i="70"/>
  <c r="V78" i="70"/>
  <c r="W78" i="70"/>
  <c r="X78" i="70"/>
  <c r="Y78" i="70"/>
  <c r="Z78" i="70"/>
  <c r="AA78" i="70"/>
  <c r="AG78" i="70" s="1"/>
  <c r="AD78" i="70"/>
  <c r="AE78" i="70"/>
  <c r="R79" i="70"/>
  <c r="S79" i="70"/>
  <c r="T79" i="70"/>
  <c r="U79" i="70"/>
  <c r="V79" i="70"/>
  <c r="W79" i="70"/>
  <c r="X79" i="70"/>
  <c r="Y79" i="70"/>
  <c r="Z79" i="70"/>
  <c r="AA79" i="70"/>
  <c r="AD79" i="70"/>
  <c r="AE79" i="70"/>
  <c r="AG79" i="70"/>
  <c r="R80" i="70"/>
  <c r="S80" i="70"/>
  <c r="T80" i="70"/>
  <c r="U80" i="70"/>
  <c r="V80" i="70"/>
  <c r="W80" i="70"/>
  <c r="X80" i="70"/>
  <c r="Y80" i="70"/>
  <c r="Z80" i="70"/>
  <c r="AA80" i="70"/>
  <c r="AG80" i="70" s="1"/>
  <c r="AD80" i="70"/>
  <c r="AE80" i="70"/>
  <c r="R81" i="70"/>
  <c r="S81" i="70"/>
  <c r="T81" i="70"/>
  <c r="U81" i="70"/>
  <c r="V81" i="70"/>
  <c r="W81" i="70"/>
  <c r="X81" i="70"/>
  <c r="Y81" i="70"/>
  <c r="Z81" i="70"/>
  <c r="AA81" i="70"/>
  <c r="AG81" i="70" s="1"/>
  <c r="AD81" i="70"/>
  <c r="AE81" i="70"/>
  <c r="R82" i="70"/>
  <c r="S82" i="70"/>
  <c r="T82" i="70"/>
  <c r="U82" i="70"/>
  <c r="V82" i="70"/>
  <c r="W82" i="70"/>
  <c r="X82" i="70"/>
  <c r="Y82" i="70"/>
  <c r="Z82" i="70"/>
  <c r="AA82" i="70"/>
  <c r="AG82" i="70" s="1"/>
  <c r="AD82" i="70"/>
  <c r="AE82" i="70"/>
  <c r="R83" i="70"/>
  <c r="S83" i="70"/>
  <c r="T83" i="70"/>
  <c r="U83" i="70"/>
  <c r="V83" i="70"/>
  <c r="W83" i="70"/>
  <c r="X83" i="70"/>
  <c r="Y83" i="70"/>
  <c r="Z83" i="70"/>
  <c r="AA83" i="70"/>
  <c r="AG83" i="70" s="1"/>
  <c r="AD83" i="70"/>
  <c r="AE83" i="70"/>
  <c r="R84" i="70"/>
  <c r="S84" i="70"/>
  <c r="T84" i="70"/>
  <c r="U84" i="70"/>
  <c r="V84" i="70"/>
  <c r="W84" i="70"/>
  <c r="X84" i="70"/>
  <c r="Y84" i="70"/>
  <c r="Z84" i="70"/>
  <c r="AA84" i="70"/>
  <c r="AG84" i="70" s="1"/>
  <c r="AD84" i="70"/>
  <c r="AE84" i="70"/>
  <c r="R85" i="70"/>
  <c r="S85" i="70"/>
  <c r="T85" i="70"/>
  <c r="U85" i="70"/>
  <c r="V85" i="70"/>
  <c r="W85" i="70"/>
  <c r="X85" i="70"/>
  <c r="Y85" i="70"/>
  <c r="Z85" i="70"/>
  <c r="AA85" i="70"/>
  <c r="AG85" i="70" s="1"/>
  <c r="AD85" i="70"/>
  <c r="AE85" i="70"/>
  <c r="R86" i="70"/>
  <c r="S86" i="70"/>
  <c r="T86" i="70"/>
  <c r="U86" i="70"/>
  <c r="V86" i="70"/>
  <c r="W86" i="70"/>
  <c r="X86" i="70"/>
  <c r="Y86" i="70"/>
  <c r="Z86" i="70"/>
  <c r="AA86" i="70"/>
  <c r="AG86" i="70" s="1"/>
  <c r="AD86" i="70"/>
  <c r="AE86" i="70"/>
  <c r="R87" i="70"/>
  <c r="S87" i="70"/>
  <c r="T87" i="70"/>
  <c r="U87" i="70"/>
  <c r="V87" i="70"/>
  <c r="W87" i="70"/>
  <c r="X87" i="70"/>
  <c r="Y87" i="70"/>
  <c r="Z87" i="70"/>
  <c r="AA87" i="70"/>
  <c r="AG87" i="70" s="1"/>
  <c r="AD87" i="70"/>
  <c r="AE87" i="70"/>
  <c r="R88" i="70"/>
  <c r="S88" i="70"/>
  <c r="T88" i="70"/>
  <c r="U88" i="70"/>
  <c r="V88" i="70"/>
  <c r="W88" i="70"/>
  <c r="X88" i="70"/>
  <c r="Y88" i="70"/>
  <c r="Z88" i="70"/>
  <c r="AA88" i="70"/>
  <c r="AG88" i="70" s="1"/>
  <c r="AD88" i="70"/>
  <c r="AE88" i="70"/>
  <c r="R89" i="70"/>
  <c r="S89" i="70"/>
  <c r="T89" i="70"/>
  <c r="U89" i="70"/>
  <c r="V89" i="70"/>
  <c r="W89" i="70"/>
  <c r="X89" i="70"/>
  <c r="Y89" i="70"/>
  <c r="Z89" i="70"/>
  <c r="AA89" i="70"/>
  <c r="AG89" i="70" s="1"/>
  <c r="AD89" i="70"/>
  <c r="AE89" i="70"/>
  <c r="R90" i="70"/>
  <c r="S90" i="70"/>
  <c r="T90" i="70"/>
  <c r="U90" i="70"/>
  <c r="V90" i="70"/>
  <c r="W90" i="70"/>
  <c r="X90" i="70"/>
  <c r="Y90" i="70"/>
  <c r="Z90" i="70"/>
  <c r="AA90" i="70"/>
  <c r="AG90" i="70" s="1"/>
  <c r="AD90" i="70"/>
  <c r="AE90" i="70"/>
  <c r="R91" i="70"/>
  <c r="S91" i="70"/>
  <c r="T91" i="70"/>
  <c r="U91" i="70"/>
  <c r="V91" i="70"/>
  <c r="W91" i="70"/>
  <c r="X91" i="70"/>
  <c r="Y91" i="70"/>
  <c r="Z91" i="70"/>
  <c r="AA91" i="70"/>
  <c r="AG91" i="70" s="1"/>
  <c r="AD91" i="70"/>
  <c r="AE91" i="70"/>
  <c r="R92" i="70"/>
  <c r="S92" i="70"/>
  <c r="T92" i="70"/>
  <c r="U92" i="70"/>
  <c r="V92" i="70"/>
  <c r="W92" i="70"/>
  <c r="X92" i="70"/>
  <c r="Y92" i="70"/>
  <c r="Z92" i="70"/>
  <c r="AA92" i="70"/>
  <c r="AG92" i="70" s="1"/>
  <c r="AD92" i="70"/>
  <c r="AE92" i="70"/>
  <c r="R93" i="70"/>
  <c r="S93" i="70"/>
  <c r="T93" i="70"/>
  <c r="U93" i="70"/>
  <c r="V93" i="70"/>
  <c r="W93" i="70"/>
  <c r="X93" i="70"/>
  <c r="Y93" i="70"/>
  <c r="Z93" i="70"/>
  <c r="AA93" i="70"/>
  <c r="AG93" i="70" s="1"/>
  <c r="AD93" i="70"/>
  <c r="AE93" i="70"/>
  <c r="R94" i="70"/>
  <c r="S94" i="70"/>
  <c r="T94" i="70"/>
  <c r="U94" i="70"/>
  <c r="V94" i="70"/>
  <c r="W94" i="70"/>
  <c r="X94" i="70"/>
  <c r="Y94" i="70"/>
  <c r="Z94" i="70"/>
  <c r="AA94" i="70"/>
  <c r="AG94" i="70" s="1"/>
  <c r="AD94" i="70"/>
  <c r="AE94" i="70"/>
  <c r="R95" i="70"/>
  <c r="S95" i="70"/>
  <c r="T95" i="70"/>
  <c r="U95" i="70"/>
  <c r="V95" i="70"/>
  <c r="W95" i="70"/>
  <c r="X95" i="70"/>
  <c r="Y95" i="70"/>
  <c r="Z95" i="70"/>
  <c r="AA95" i="70"/>
  <c r="AG95" i="70" s="1"/>
  <c r="AD95" i="70"/>
  <c r="AE95" i="70"/>
  <c r="R96" i="70"/>
  <c r="S96" i="70"/>
  <c r="T96" i="70"/>
  <c r="U96" i="70"/>
  <c r="V96" i="70"/>
  <c r="W96" i="70"/>
  <c r="X96" i="70"/>
  <c r="Y96" i="70"/>
  <c r="Z96" i="70"/>
  <c r="AA96" i="70"/>
  <c r="AG96" i="70" s="1"/>
  <c r="AD96" i="70"/>
  <c r="AE96" i="70"/>
  <c r="R97" i="70"/>
  <c r="S97" i="70"/>
  <c r="T97" i="70"/>
  <c r="U97" i="70"/>
  <c r="V97" i="70"/>
  <c r="W97" i="70"/>
  <c r="X97" i="70"/>
  <c r="Y97" i="70"/>
  <c r="Z97" i="70"/>
  <c r="AA97" i="70"/>
  <c r="AG97" i="70" s="1"/>
  <c r="AD97" i="70"/>
  <c r="AE97" i="70"/>
  <c r="R98" i="70"/>
  <c r="S98" i="70"/>
  <c r="T98" i="70"/>
  <c r="U98" i="70"/>
  <c r="V98" i="70"/>
  <c r="W98" i="70"/>
  <c r="X98" i="70"/>
  <c r="Y98" i="70"/>
  <c r="Z98" i="70"/>
  <c r="AA98" i="70"/>
  <c r="AG98" i="70" s="1"/>
  <c r="AD98" i="70"/>
  <c r="AE98" i="70"/>
  <c r="R99" i="70"/>
  <c r="S99" i="70"/>
  <c r="T99" i="70"/>
  <c r="U99" i="70"/>
  <c r="V99" i="70"/>
  <c r="W99" i="70"/>
  <c r="X99" i="70"/>
  <c r="Y99" i="70"/>
  <c r="Z99" i="70"/>
  <c r="AA99" i="70"/>
  <c r="AG99" i="70" s="1"/>
  <c r="AD99" i="70"/>
  <c r="AE99" i="70"/>
  <c r="R100" i="70"/>
  <c r="S100" i="70"/>
  <c r="T100" i="70"/>
  <c r="U100" i="70"/>
  <c r="V100" i="70"/>
  <c r="W100" i="70"/>
  <c r="X100" i="70"/>
  <c r="Y100" i="70"/>
  <c r="Z100" i="70"/>
  <c r="AA100" i="70"/>
  <c r="AG100" i="70" s="1"/>
  <c r="AD100" i="70"/>
  <c r="AE100" i="70"/>
  <c r="R101" i="70"/>
  <c r="S101" i="70"/>
  <c r="T101" i="70"/>
  <c r="U101" i="70"/>
  <c r="V101" i="70"/>
  <c r="W101" i="70"/>
  <c r="X101" i="70"/>
  <c r="Y101" i="70"/>
  <c r="Z101" i="70"/>
  <c r="AA101" i="70"/>
  <c r="AD101" i="70"/>
  <c r="AE101" i="70"/>
  <c r="AG101" i="70"/>
  <c r="R102" i="70"/>
  <c r="S102" i="70"/>
  <c r="T102" i="70"/>
  <c r="U102" i="70"/>
  <c r="V102" i="70"/>
  <c r="W102" i="70"/>
  <c r="X102" i="70"/>
  <c r="Y102" i="70"/>
  <c r="Z102" i="70"/>
  <c r="AA102" i="70"/>
  <c r="AG102" i="70" s="1"/>
  <c r="AD102" i="70"/>
  <c r="AE102" i="70"/>
  <c r="R103" i="70"/>
  <c r="S103" i="70"/>
  <c r="T103" i="70"/>
  <c r="U103" i="70"/>
  <c r="V103" i="70"/>
  <c r="W103" i="70"/>
  <c r="X103" i="70"/>
  <c r="Y103" i="70"/>
  <c r="Z103" i="70"/>
  <c r="AA103" i="70"/>
  <c r="AG103" i="70" s="1"/>
  <c r="AD103" i="70"/>
  <c r="AE103" i="70"/>
  <c r="R104" i="70"/>
  <c r="S104" i="70"/>
  <c r="T104" i="70"/>
  <c r="U104" i="70"/>
  <c r="V104" i="70"/>
  <c r="W104" i="70"/>
  <c r="X104" i="70"/>
  <c r="Y104" i="70"/>
  <c r="Z104" i="70"/>
  <c r="AA104" i="70"/>
  <c r="AG104" i="70" s="1"/>
  <c r="AD104" i="70"/>
  <c r="AE104" i="70"/>
  <c r="R5" i="70"/>
  <c r="S5" i="70"/>
  <c r="T5" i="70"/>
  <c r="U5" i="70"/>
  <c r="V5" i="70"/>
  <c r="W5" i="70"/>
  <c r="X5" i="70"/>
  <c r="Y5" i="70"/>
  <c r="Z5" i="70"/>
  <c r="AA5" i="70"/>
  <c r="K6" i="69"/>
  <c r="L6" i="69"/>
  <c r="M6" i="69"/>
  <c r="N6" i="69"/>
  <c r="S6" i="69" s="1"/>
  <c r="O6" i="69"/>
  <c r="P6" i="69"/>
  <c r="Q6" i="69"/>
  <c r="K7" i="69"/>
  <c r="L7" i="69"/>
  <c r="M7" i="69"/>
  <c r="N7" i="69"/>
  <c r="O7" i="69"/>
  <c r="P7" i="69"/>
  <c r="Q7" i="69"/>
  <c r="K8" i="69"/>
  <c r="L8" i="69"/>
  <c r="M8" i="69"/>
  <c r="N8" i="69"/>
  <c r="O8" i="69"/>
  <c r="P8" i="69"/>
  <c r="Q8" i="69"/>
  <c r="K9" i="69"/>
  <c r="L9" i="69"/>
  <c r="M9" i="69"/>
  <c r="N9" i="69"/>
  <c r="O9" i="69"/>
  <c r="P9" i="69"/>
  <c r="Q9" i="69"/>
  <c r="K10" i="69"/>
  <c r="L10" i="69"/>
  <c r="M10" i="69"/>
  <c r="N10" i="69"/>
  <c r="O10" i="69"/>
  <c r="P10" i="69"/>
  <c r="Q10" i="69"/>
  <c r="K11" i="69"/>
  <c r="L11" i="69"/>
  <c r="M11" i="69"/>
  <c r="N11" i="69"/>
  <c r="O11" i="69"/>
  <c r="P11" i="69"/>
  <c r="Q11" i="69"/>
  <c r="K12" i="69"/>
  <c r="L12" i="69"/>
  <c r="M12" i="69"/>
  <c r="N12" i="69"/>
  <c r="S12" i="69" s="1"/>
  <c r="O12" i="69"/>
  <c r="P12" i="69"/>
  <c r="Q12" i="69"/>
  <c r="K13" i="69"/>
  <c r="L13" i="69"/>
  <c r="M13" i="69"/>
  <c r="N13" i="69"/>
  <c r="S13" i="69" s="1"/>
  <c r="O13" i="69"/>
  <c r="P13" i="69"/>
  <c r="Q13" i="69"/>
  <c r="K14" i="69"/>
  <c r="L14" i="69"/>
  <c r="M14" i="69"/>
  <c r="N14" i="69"/>
  <c r="O14" i="69"/>
  <c r="P14" i="69"/>
  <c r="Q14" i="69"/>
  <c r="K15" i="69"/>
  <c r="L15" i="69"/>
  <c r="M15" i="69"/>
  <c r="N15" i="69"/>
  <c r="S15" i="69" s="1"/>
  <c r="O15" i="69"/>
  <c r="P15" i="69"/>
  <c r="Q15" i="69"/>
  <c r="K16" i="69"/>
  <c r="L16" i="69"/>
  <c r="M16" i="69"/>
  <c r="N16" i="69"/>
  <c r="S16" i="69" s="1"/>
  <c r="O16" i="69"/>
  <c r="P16" i="69"/>
  <c r="Q16" i="69"/>
  <c r="K17" i="69"/>
  <c r="L17" i="69"/>
  <c r="M17" i="69"/>
  <c r="N17" i="69"/>
  <c r="S17" i="69" s="1"/>
  <c r="O17" i="69"/>
  <c r="P17" i="69"/>
  <c r="Q17" i="69"/>
  <c r="K18" i="69"/>
  <c r="L18" i="69"/>
  <c r="M18" i="69"/>
  <c r="N18" i="69"/>
  <c r="O18" i="69"/>
  <c r="P18" i="69"/>
  <c r="Q18" i="69"/>
  <c r="K19" i="69"/>
  <c r="L19" i="69"/>
  <c r="M19" i="69"/>
  <c r="N19" i="69"/>
  <c r="S19" i="69" s="1"/>
  <c r="O19" i="69"/>
  <c r="P19" i="69"/>
  <c r="Q19" i="69"/>
  <c r="K20" i="69"/>
  <c r="L20" i="69"/>
  <c r="M20" i="69"/>
  <c r="N20" i="69"/>
  <c r="O20" i="69"/>
  <c r="P20" i="69"/>
  <c r="Q20" i="69"/>
  <c r="K21" i="69"/>
  <c r="L21" i="69"/>
  <c r="M21" i="69"/>
  <c r="N21" i="69"/>
  <c r="S21" i="69" s="1"/>
  <c r="O21" i="69"/>
  <c r="P21" i="69"/>
  <c r="Q21" i="69"/>
  <c r="K22" i="69"/>
  <c r="L22" i="69"/>
  <c r="M22" i="69"/>
  <c r="N22" i="69"/>
  <c r="O22" i="69"/>
  <c r="P22" i="69"/>
  <c r="Q22" i="69"/>
  <c r="K23" i="69"/>
  <c r="L23" i="69"/>
  <c r="M23" i="69"/>
  <c r="N23" i="69"/>
  <c r="S23" i="69" s="1"/>
  <c r="O23" i="69"/>
  <c r="P23" i="69"/>
  <c r="Q23" i="69"/>
  <c r="K24" i="69"/>
  <c r="L24" i="69"/>
  <c r="M24" i="69"/>
  <c r="N24" i="69"/>
  <c r="O24" i="69"/>
  <c r="P24" i="69"/>
  <c r="Q24" i="69"/>
  <c r="K25" i="69"/>
  <c r="L25" i="69"/>
  <c r="M25" i="69"/>
  <c r="N25" i="69"/>
  <c r="O25" i="69"/>
  <c r="P25" i="69"/>
  <c r="Q25" i="69"/>
  <c r="K26" i="69"/>
  <c r="L26" i="69"/>
  <c r="M26" i="69"/>
  <c r="N26" i="69"/>
  <c r="S26" i="69" s="1"/>
  <c r="O26" i="69"/>
  <c r="P26" i="69"/>
  <c r="Q26" i="69"/>
  <c r="K27" i="69"/>
  <c r="L27" i="69"/>
  <c r="M27" i="69"/>
  <c r="N27" i="69"/>
  <c r="O27" i="69"/>
  <c r="P27" i="69"/>
  <c r="Q27" i="69"/>
  <c r="K28" i="69"/>
  <c r="L28" i="69"/>
  <c r="M28" i="69"/>
  <c r="N28" i="69"/>
  <c r="S28" i="69" s="1"/>
  <c r="O28" i="69"/>
  <c r="P28" i="69"/>
  <c r="Q28" i="69"/>
  <c r="K29" i="69"/>
  <c r="L29" i="69"/>
  <c r="M29" i="69"/>
  <c r="N29" i="69"/>
  <c r="S29" i="69" s="1"/>
  <c r="O29" i="69"/>
  <c r="P29" i="69"/>
  <c r="Q29" i="69"/>
  <c r="K30" i="69"/>
  <c r="L30" i="69"/>
  <c r="M30" i="69"/>
  <c r="N30" i="69"/>
  <c r="O30" i="69"/>
  <c r="P30" i="69"/>
  <c r="Q30" i="69"/>
  <c r="K31" i="69"/>
  <c r="L31" i="69"/>
  <c r="M31" i="69"/>
  <c r="N31" i="69"/>
  <c r="O31" i="69"/>
  <c r="P31" i="69"/>
  <c r="Q31" i="69"/>
  <c r="K32" i="69"/>
  <c r="L32" i="69"/>
  <c r="M32" i="69"/>
  <c r="N32" i="69"/>
  <c r="S32" i="69" s="1"/>
  <c r="O32" i="69"/>
  <c r="P32" i="69"/>
  <c r="Q32" i="69"/>
  <c r="K33" i="69"/>
  <c r="L33" i="69"/>
  <c r="M33" i="69"/>
  <c r="N33" i="69"/>
  <c r="S33" i="69" s="1"/>
  <c r="O33" i="69"/>
  <c r="P33" i="69"/>
  <c r="Q33" i="69"/>
  <c r="K34" i="69"/>
  <c r="L34" i="69"/>
  <c r="M34" i="69"/>
  <c r="N34" i="69"/>
  <c r="O34" i="69"/>
  <c r="P34" i="69"/>
  <c r="Q34" i="69"/>
  <c r="K35" i="69"/>
  <c r="L35" i="69"/>
  <c r="M35" i="69"/>
  <c r="N35" i="69"/>
  <c r="O35" i="69"/>
  <c r="P35" i="69"/>
  <c r="Q35" i="69"/>
  <c r="K36" i="69"/>
  <c r="L36" i="69"/>
  <c r="M36" i="69"/>
  <c r="N36" i="69"/>
  <c r="S36" i="69" s="1"/>
  <c r="O36" i="69"/>
  <c r="P36" i="69"/>
  <c r="Q36" i="69"/>
  <c r="K37" i="69"/>
  <c r="L37" i="69"/>
  <c r="M37" i="69"/>
  <c r="N37" i="69"/>
  <c r="O37" i="69"/>
  <c r="P37" i="69"/>
  <c r="Q37" i="69"/>
  <c r="K38" i="69"/>
  <c r="L38" i="69"/>
  <c r="M38" i="69"/>
  <c r="N38" i="69"/>
  <c r="S38" i="69" s="1"/>
  <c r="O38" i="69"/>
  <c r="P38" i="69"/>
  <c r="Q38" i="69"/>
  <c r="K39" i="69"/>
  <c r="L39" i="69"/>
  <c r="M39" i="69"/>
  <c r="N39" i="69"/>
  <c r="O39" i="69"/>
  <c r="P39" i="69"/>
  <c r="Q39" i="69"/>
  <c r="K40" i="69"/>
  <c r="L40" i="69"/>
  <c r="M40" i="69"/>
  <c r="N40" i="69"/>
  <c r="O40" i="69"/>
  <c r="P40" i="69"/>
  <c r="Q40" i="69"/>
  <c r="K41" i="69"/>
  <c r="L41" i="69"/>
  <c r="M41" i="69"/>
  <c r="N41" i="69"/>
  <c r="S41" i="69" s="1"/>
  <c r="O41" i="69"/>
  <c r="P41" i="69"/>
  <c r="Q41" i="69"/>
  <c r="K42" i="69"/>
  <c r="L42" i="69"/>
  <c r="M42" i="69"/>
  <c r="N42" i="69"/>
  <c r="S42" i="69" s="1"/>
  <c r="O42" i="69"/>
  <c r="P42" i="69"/>
  <c r="Q42" i="69"/>
  <c r="K43" i="69"/>
  <c r="L43" i="69"/>
  <c r="M43" i="69"/>
  <c r="N43" i="69"/>
  <c r="O43" i="69"/>
  <c r="P43" i="69"/>
  <c r="Q43" i="69"/>
  <c r="K44" i="69"/>
  <c r="L44" i="69"/>
  <c r="M44" i="69"/>
  <c r="N44" i="69"/>
  <c r="S44" i="69" s="1"/>
  <c r="O44" i="69"/>
  <c r="P44" i="69"/>
  <c r="Q44" i="69"/>
  <c r="K45" i="69"/>
  <c r="L45" i="69"/>
  <c r="M45" i="69"/>
  <c r="N45" i="69"/>
  <c r="O45" i="69"/>
  <c r="P45" i="69"/>
  <c r="Q45" i="69"/>
  <c r="K46" i="69"/>
  <c r="L46" i="69"/>
  <c r="M46" i="69"/>
  <c r="N46" i="69"/>
  <c r="O46" i="69"/>
  <c r="P46" i="69"/>
  <c r="Q46" i="69"/>
  <c r="K47" i="69"/>
  <c r="L47" i="69"/>
  <c r="M47" i="69"/>
  <c r="N47" i="69"/>
  <c r="S47" i="69" s="1"/>
  <c r="O47" i="69"/>
  <c r="P47" i="69"/>
  <c r="Q47" i="69"/>
  <c r="K48" i="69"/>
  <c r="L48" i="69"/>
  <c r="M48" i="69"/>
  <c r="N48" i="69"/>
  <c r="S48" i="69" s="1"/>
  <c r="O48" i="69"/>
  <c r="P48" i="69"/>
  <c r="Q48" i="69"/>
  <c r="K49" i="69"/>
  <c r="L49" i="69"/>
  <c r="M49" i="69"/>
  <c r="N49" i="69"/>
  <c r="O49" i="69"/>
  <c r="P49" i="69"/>
  <c r="Q49" i="69"/>
  <c r="K50" i="69"/>
  <c r="L50" i="69"/>
  <c r="M50" i="69"/>
  <c r="N50" i="69"/>
  <c r="O50" i="69"/>
  <c r="P50" i="69"/>
  <c r="Q50" i="69"/>
  <c r="K51" i="69"/>
  <c r="L51" i="69"/>
  <c r="M51" i="69"/>
  <c r="N51" i="69"/>
  <c r="S51" i="69" s="1"/>
  <c r="O51" i="69"/>
  <c r="P51" i="69"/>
  <c r="Q51" i="69"/>
  <c r="K52" i="69"/>
  <c r="L52" i="69"/>
  <c r="M52" i="69"/>
  <c r="N52" i="69"/>
  <c r="O52" i="69"/>
  <c r="P52" i="69"/>
  <c r="Q52" i="69"/>
  <c r="K53" i="69"/>
  <c r="L53" i="69"/>
  <c r="M53" i="69"/>
  <c r="N53" i="69"/>
  <c r="S53" i="69" s="1"/>
  <c r="O53" i="69"/>
  <c r="P53" i="69"/>
  <c r="Q53" i="69"/>
  <c r="K54" i="69"/>
  <c r="L54" i="69"/>
  <c r="M54" i="69"/>
  <c r="N54" i="69"/>
  <c r="O54" i="69"/>
  <c r="P54" i="69"/>
  <c r="Q54" i="69"/>
  <c r="K55" i="69"/>
  <c r="L55" i="69"/>
  <c r="M55" i="69"/>
  <c r="N55" i="69"/>
  <c r="S55" i="69" s="1"/>
  <c r="O55" i="69"/>
  <c r="P55" i="69"/>
  <c r="Q55" i="69"/>
  <c r="K56" i="69"/>
  <c r="L56" i="69"/>
  <c r="M56" i="69"/>
  <c r="N56" i="69"/>
  <c r="O56" i="69"/>
  <c r="P56" i="69"/>
  <c r="Q56" i="69"/>
  <c r="K57" i="69"/>
  <c r="L57" i="69"/>
  <c r="M57" i="69"/>
  <c r="N57" i="69"/>
  <c r="O57" i="69"/>
  <c r="P57" i="69"/>
  <c r="Q57" i="69"/>
  <c r="K58" i="69"/>
  <c r="L58" i="69"/>
  <c r="M58" i="69"/>
  <c r="N58" i="69"/>
  <c r="S58" i="69" s="1"/>
  <c r="O58" i="69"/>
  <c r="P58" i="69"/>
  <c r="Q58" i="69"/>
  <c r="K59" i="69"/>
  <c r="L59" i="69"/>
  <c r="M59" i="69"/>
  <c r="N59" i="69"/>
  <c r="O59" i="69"/>
  <c r="P59" i="69"/>
  <c r="Q59" i="69"/>
  <c r="K60" i="69"/>
  <c r="L60" i="69"/>
  <c r="M60" i="69"/>
  <c r="N60" i="69"/>
  <c r="O60" i="69"/>
  <c r="P60" i="69"/>
  <c r="Q60" i="69"/>
  <c r="K61" i="69"/>
  <c r="L61" i="69"/>
  <c r="M61" i="69"/>
  <c r="N61" i="69"/>
  <c r="S61" i="69" s="1"/>
  <c r="O61" i="69"/>
  <c r="P61" i="69"/>
  <c r="Q61" i="69"/>
  <c r="K62" i="69"/>
  <c r="L62" i="69"/>
  <c r="M62" i="69"/>
  <c r="N62" i="69"/>
  <c r="O62" i="69"/>
  <c r="P62" i="69"/>
  <c r="Q62" i="69"/>
  <c r="K63" i="69"/>
  <c r="L63" i="69"/>
  <c r="M63" i="69"/>
  <c r="N63" i="69"/>
  <c r="S63" i="69" s="1"/>
  <c r="O63" i="69"/>
  <c r="P63" i="69"/>
  <c r="Q63" i="69"/>
  <c r="K64" i="69"/>
  <c r="L64" i="69"/>
  <c r="M64" i="69"/>
  <c r="N64" i="69"/>
  <c r="O64" i="69"/>
  <c r="P64" i="69"/>
  <c r="Q64" i="69"/>
  <c r="K65" i="69"/>
  <c r="L65" i="69"/>
  <c r="M65" i="69"/>
  <c r="N65" i="69"/>
  <c r="S65" i="69" s="1"/>
  <c r="O65" i="69"/>
  <c r="P65" i="69"/>
  <c r="Q65" i="69"/>
  <c r="K66" i="69"/>
  <c r="L66" i="69"/>
  <c r="M66" i="69"/>
  <c r="N66" i="69"/>
  <c r="O66" i="69"/>
  <c r="P66" i="69"/>
  <c r="Q66" i="69"/>
  <c r="K67" i="69"/>
  <c r="L67" i="69"/>
  <c r="M67" i="69"/>
  <c r="N67" i="69"/>
  <c r="O67" i="69"/>
  <c r="P67" i="69"/>
  <c r="Q67" i="69"/>
  <c r="K68" i="69"/>
  <c r="L68" i="69"/>
  <c r="M68" i="69"/>
  <c r="N68" i="69"/>
  <c r="O68" i="69"/>
  <c r="P68" i="69"/>
  <c r="Q68" i="69"/>
  <c r="K69" i="69"/>
  <c r="L69" i="69"/>
  <c r="M69" i="69"/>
  <c r="N69" i="69"/>
  <c r="O69" i="69"/>
  <c r="P69" i="69"/>
  <c r="Q69" i="69"/>
  <c r="K70" i="69"/>
  <c r="L70" i="69"/>
  <c r="M70" i="69"/>
  <c r="N70" i="69"/>
  <c r="O70" i="69"/>
  <c r="P70" i="69"/>
  <c r="Q70" i="69"/>
  <c r="K71" i="69"/>
  <c r="L71" i="69"/>
  <c r="M71" i="69"/>
  <c r="N71" i="69"/>
  <c r="O71" i="69"/>
  <c r="P71" i="69"/>
  <c r="Q71" i="69"/>
  <c r="K72" i="69"/>
  <c r="L72" i="69"/>
  <c r="M72" i="69"/>
  <c r="N72" i="69"/>
  <c r="O72" i="69"/>
  <c r="P72" i="69"/>
  <c r="Q72" i="69"/>
  <c r="K73" i="69"/>
  <c r="L73" i="69"/>
  <c r="M73" i="69"/>
  <c r="N73" i="69"/>
  <c r="S73" i="69" s="1"/>
  <c r="O73" i="69"/>
  <c r="P73" i="69"/>
  <c r="Q73" i="69"/>
  <c r="K74" i="69"/>
  <c r="L74" i="69"/>
  <c r="M74" i="69"/>
  <c r="N74" i="69"/>
  <c r="O74" i="69"/>
  <c r="P74" i="69"/>
  <c r="Q74" i="69"/>
  <c r="K75" i="69"/>
  <c r="L75" i="69"/>
  <c r="M75" i="69"/>
  <c r="N75" i="69"/>
  <c r="O75" i="69"/>
  <c r="P75" i="69"/>
  <c r="Q75" i="69"/>
  <c r="K76" i="69"/>
  <c r="L76" i="69"/>
  <c r="M76" i="69"/>
  <c r="N76" i="69"/>
  <c r="S76" i="69" s="1"/>
  <c r="O76" i="69"/>
  <c r="P76" i="69"/>
  <c r="Q76" i="69"/>
  <c r="K77" i="69"/>
  <c r="L77" i="69"/>
  <c r="M77" i="69"/>
  <c r="N77" i="69"/>
  <c r="S77" i="69" s="1"/>
  <c r="O77" i="69"/>
  <c r="P77" i="69"/>
  <c r="Q77" i="69"/>
  <c r="K78" i="69"/>
  <c r="L78" i="69"/>
  <c r="M78" i="69"/>
  <c r="N78" i="69"/>
  <c r="O78" i="69"/>
  <c r="P78" i="69"/>
  <c r="Q78" i="69"/>
  <c r="K79" i="69"/>
  <c r="L79" i="69"/>
  <c r="M79" i="69"/>
  <c r="N79" i="69"/>
  <c r="O79" i="69"/>
  <c r="P79" i="69"/>
  <c r="Q79" i="69"/>
  <c r="K80" i="69"/>
  <c r="L80" i="69"/>
  <c r="M80" i="69"/>
  <c r="N80" i="69"/>
  <c r="S80" i="69" s="1"/>
  <c r="O80" i="69"/>
  <c r="P80" i="69"/>
  <c r="Q80" i="69"/>
  <c r="K81" i="69"/>
  <c r="L81" i="69"/>
  <c r="M81" i="69"/>
  <c r="N81" i="69"/>
  <c r="S81" i="69" s="1"/>
  <c r="O81" i="69"/>
  <c r="P81" i="69"/>
  <c r="Q81" i="69"/>
  <c r="K82" i="69"/>
  <c r="L82" i="69"/>
  <c r="M82" i="69"/>
  <c r="N82" i="69"/>
  <c r="O82" i="69"/>
  <c r="P82" i="69"/>
  <c r="Q82" i="69"/>
  <c r="K83" i="69"/>
  <c r="L83" i="69"/>
  <c r="M83" i="69"/>
  <c r="N83" i="69"/>
  <c r="O83" i="69"/>
  <c r="P83" i="69"/>
  <c r="Q83" i="69"/>
  <c r="K84" i="69"/>
  <c r="L84" i="69"/>
  <c r="M84" i="69"/>
  <c r="N84" i="69"/>
  <c r="O84" i="69"/>
  <c r="P84" i="69"/>
  <c r="Q84" i="69"/>
  <c r="K85" i="69"/>
  <c r="L85" i="69"/>
  <c r="M85" i="69"/>
  <c r="N85" i="69"/>
  <c r="O85" i="69"/>
  <c r="P85" i="69"/>
  <c r="Q85" i="69"/>
  <c r="K86" i="69"/>
  <c r="L86" i="69"/>
  <c r="M86" i="69"/>
  <c r="N86" i="69"/>
  <c r="O86" i="69"/>
  <c r="P86" i="69"/>
  <c r="Q86" i="69"/>
  <c r="K87" i="69"/>
  <c r="L87" i="69"/>
  <c r="M87" i="69"/>
  <c r="N87" i="69"/>
  <c r="O87" i="69"/>
  <c r="P87" i="69"/>
  <c r="Q87" i="69"/>
  <c r="K88" i="69"/>
  <c r="L88" i="69"/>
  <c r="M88" i="69"/>
  <c r="N88" i="69"/>
  <c r="O88" i="69"/>
  <c r="P88" i="69"/>
  <c r="Q88" i="69"/>
  <c r="K89" i="69"/>
  <c r="L89" i="69"/>
  <c r="M89" i="69"/>
  <c r="N89" i="69"/>
  <c r="O89" i="69"/>
  <c r="P89" i="69"/>
  <c r="Q89" i="69"/>
  <c r="K90" i="69"/>
  <c r="L90" i="69"/>
  <c r="M90" i="69"/>
  <c r="N90" i="69"/>
  <c r="S90" i="69" s="1"/>
  <c r="O90" i="69"/>
  <c r="P90" i="69"/>
  <c r="Q90" i="69"/>
  <c r="K91" i="69"/>
  <c r="L91" i="69"/>
  <c r="M91" i="69"/>
  <c r="N91" i="69"/>
  <c r="O91" i="69"/>
  <c r="P91" i="69"/>
  <c r="Q91" i="69"/>
  <c r="K92" i="69"/>
  <c r="L92" i="69"/>
  <c r="M92" i="69"/>
  <c r="N92" i="69"/>
  <c r="S92" i="69" s="1"/>
  <c r="O92" i="69"/>
  <c r="P92" i="69"/>
  <c r="Q92" i="69"/>
  <c r="K93" i="69"/>
  <c r="L93" i="69"/>
  <c r="M93" i="69"/>
  <c r="N93" i="69"/>
  <c r="O93" i="69"/>
  <c r="P93" i="69"/>
  <c r="Q93" i="69"/>
  <c r="K94" i="69"/>
  <c r="L94" i="69"/>
  <c r="M94" i="69"/>
  <c r="N94" i="69"/>
  <c r="S94" i="69" s="1"/>
  <c r="O94" i="69"/>
  <c r="P94" i="69"/>
  <c r="Q94" i="69"/>
  <c r="K95" i="69"/>
  <c r="L95" i="69"/>
  <c r="M95" i="69"/>
  <c r="N95" i="69"/>
  <c r="S95" i="69" s="1"/>
  <c r="O95" i="69"/>
  <c r="P95" i="69"/>
  <c r="Q95" i="69"/>
  <c r="K96" i="69"/>
  <c r="L96" i="69"/>
  <c r="M96" i="69"/>
  <c r="N96" i="69"/>
  <c r="S96" i="69" s="1"/>
  <c r="O96" i="69"/>
  <c r="P96" i="69"/>
  <c r="Q96" i="69"/>
  <c r="K97" i="69"/>
  <c r="L97" i="69"/>
  <c r="M97" i="69"/>
  <c r="N97" i="69"/>
  <c r="S97" i="69" s="1"/>
  <c r="O97" i="69"/>
  <c r="P97" i="69"/>
  <c r="Q97" i="69"/>
  <c r="K98" i="69"/>
  <c r="L98" i="69"/>
  <c r="M98" i="69"/>
  <c r="N98" i="69"/>
  <c r="S98" i="69" s="1"/>
  <c r="O98" i="69"/>
  <c r="P98" i="69"/>
  <c r="Q98" i="69"/>
  <c r="K99" i="69"/>
  <c r="L99" i="69"/>
  <c r="M99" i="69"/>
  <c r="N99" i="69"/>
  <c r="S99" i="69" s="1"/>
  <c r="O99" i="69"/>
  <c r="P99" i="69"/>
  <c r="Q99" i="69"/>
  <c r="K100" i="69"/>
  <c r="L100" i="69"/>
  <c r="M100" i="69"/>
  <c r="N100" i="69"/>
  <c r="S100" i="69" s="1"/>
  <c r="O100" i="69"/>
  <c r="P100" i="69"/>
  <c r="Q100" i="69"/>
  <c r="K101" i="69"/>
  <c r="L101" i="69"/>
  <c r="M101" i="69"/>
  <c r="N101" i="69"/>
  <c r="S101" i="69" s="1"/>
  <c r="O101" i="69"/>
  <c r="P101" i="69"/>
  <c r="Q101" i="69"/>
  <c r="K102" i="69"/>
  <c r="L102" i="69"/>
  <c r="M102" i="69"/>
  <c r="N102" i="69"/>
  <c r="S102" i="69" s="1"/>
  <c r="O102" i="69"/>
  <c r="P102" i="69"/>
  <c r="Q102" i="69"/>
  <c r="K103" i="69"/>
  <c r="L103" i="69"/>
  <c r="M103" i="69"/>
  <c r="N103" i="69"/>
  <c r="O103" i="69"/>
  <c r="P103" i="69"/>
  <c r="Q103" i="69"/>
  <c r="K104" i="69"/>
  <c r="L104" i="69"/>
  <c r="M104" i="69"/>
  <c r="N104" i="69"/>
  <c r="O104" i="69"/>
  <c r="P104" i="69"/>
  <c r="Q104" i="69"/>
  <c r="BE9" i="55"/>
  <c r="AB9" i="55" a="1"/>
  <c r="AB9" i="55" s="1"/>
  <c r="AB10" i="55" a="1"/>
  <c r="AB10" i="55" s="1"/>
  <c r="AB11" i="55" a="1"/>
  <c r="AB11" i="55" s="1"/>
  <c r="AB12" i="55" a="1"/>
  <c r="AB12" i="55" s="1"/>
  <c r="AB13" i="55" a="1"/>
  <c r="AB13" i="55" s="1"/>
  <c r="AB14" i="55" a="1"/>
  <c r="AB14" i="55" s="1"/>
  <c r="AB15" i="55" a="1"/>
  <c r="AB15" i="55" s="1"/>
  <c r="AB16" i="55" a="1"/>
  <c r="AB16" i="55" s="1"/>
  <c r="AB17" i="55" a="1"/>
  <c r="AB17" i="55" s="1"/>
  <c r="AB18" i="55" a="1"/>
  <c r="AB18" i="55" s="1"/>
  <c r="AB19" i="55" a="1"/>
  <c r="AB19" i="55" s="1"/>
  <c r="S87" i="69" l="1"/>
  <c r="S85" i="69"/>
  <c r="S79" i="69"/>
  <c r="S71" i="69"/>
  <c r="S69" i="69"/>
  <c r="S67" i="69"/>
  <c r="S31" i="69"/>
  <c r="S25" i="69"/>
  <c r="S8" i="69"/>
  <c r="S46" i="69"/>
  <c r="S91" i="69"/>
  <c r="S83" i="69"/>
  <c r="S75" i="69"/>
  <c r="S54" i="69"/>
  <c r="S52" i="69"/>
  <c r="S50" i="69"/>
  <c r="S27" i="69"/>
  <c r="S93" i="69"/>
  <c r="S89" i="69"/>
  <c r="S14" i="69"/>
  <c r="S10" i="69"/>
  <c r="S56" i="69"/>
  <c r="S62" i="69"/>
  <c r="S39" i="69"/>
  <c r="S37" i="69"/>
  <c r="S35" i="69"/>
  <c r="S86" i="69"/>
  <c r="S84" i="69"/>
  <c r="S70" i="69"/>
  <c r="S68" i="69"/>
  <c r="S66" i="69"/>
  <c r="S43" i="69"/>
  <c r="S24" i="69"/>
  <c r="S7" i="69"/>
  <c r="S82" i="69"/>
  <c r="S78" i="69"/>
  <c r="S74" i="69"/>
  <c r="S49" i="69"/>
  <c r="S45" i="69"/>
  <c r="S30" i="69"/>
  <c r="S64" i="69"/>
  <c r="S22" i="69"/>
  <c r="S88" i="69"/>
  <c r="S72" i="69"/>
  <c r="S9" i="69"/>
  <c r="S104" i="69"/>
  <c r="S34" i="69"/>
  <c r="S11" i="69"/>
  <c r="S103" i="69"/>
  <c r="S20" i="69"/>
  <c r="S57" i="69"/>
  <c r="S60" i="69"/>
  <c r="S18" i="69"/>
  <c r="S59" i="69"/>
  <c r="S40" i="69"/>
  <c r="AJ5" i="70"/>
  <c r="M8" i="72"/>
  <c r="M18" i="72"/>
  <c r="M24" i="72"/>
  <c r="M17" i="72"/>
  <c r="M10" i="72"/>
  <c r="M16" i="72"/>
  <c r="M9" i="72"/>
  <c r="M21" i="72"/>
  <c r="M13" i="72"/>
  <c r="AI5" i="70" l="1" a="1"/>
  <c r="AI5" i="70" s="1"/>
  <c r="N5" i="71" a="1"/>
  <c r="N5" i="71" s="1"/>
  <c r="E6" i="72" l="1"/>
  <c r="E5" i="72"/>
  <c r="S16" i="48"/>
  <c r="C9" i="71"/>
  <c r="C11" i="71"/>
  <c r="C12" i="71"/>
  <c r="C13" i="71"/>
  <c r="C14" i="71"/>
  <c r="Q28" i="31" l="1"/>
  <c r="T18" i="48" l="1"/>
  <c r="U18" i="48"/>
  <c r="V18" i="48"/>
  <c r="J30" i="77" s="1"/>
  <c r="W18" i="48"/>
  <c r="X18" i="48"/>
  <c r="T17" i="48"/>
  <c r="U17" i="48"/>
  <c r="V17" i="48"/>
  <c r="J29" i="77" s="1"/>
  <c r="W17" i="48"/>
  <c r="X17" i="48"/>
  <c r="T16" i="48"/>
  <c r="U16" i="48"/>
  <c r="V16" i="48"/>
  <c r="V19" i="48" s="1"/>
  <c r="W16" i="48"/>
  <c r="X16" i="48"/>
  <c r="S17" i="48"/>
  <c r="S18" i="48"/>
  <c r="J26" i="77" s="1"/>
  <c r="D20" i="31"/>
  <c r="A20" i="31"/>
  <c r="K18" i="31"/>
  <c r="K19" i="31"/>
  <c r="K17" i="31"/>
  <c r="I20" i="31"/>
  <c r="I21" i="31"/>
  <c r="I19" i="31"/>
  <c r="J25" i="77" l="1"/>
  <c r="S19" i="48"/>
  <c r="J28" i="77"/>
  <c r="J24" i="77"/>
  <c r="I9" i="48" l="1"/>
  <c r="J27" i="77"/>
  <c r="I5" i="69"/>
  <c r="AI10" i="70" l="1" a="1"/>
  <c r="AI10" i="70" s="1"/>
  <c r="AJ10" i="70"/>
  <c r="AJ4" i="67"/>
  <c r="AJ105" i="67"/>
  <c r="Z10" i="55" l="1"/>
  <c r="Z9" i="55"/>
  <c r="E12" i="77"/>
  <c r="E11" i="77" l="1"/>
  <c r="E10" i="77"/>
  <c r="E9" i="77"/>
  <c r="E44" i="77"/>
  <c r="E45" i="77"/>
  <c r="E46" i="77"/>
  <c r="E47" i="77"/>
  <c r="E48" i="77"/>
  <c r="E50" i="77"/>
  <c r="E51" i="77"/>
  <c r="E52" i="77"/>
  <c r="E53" i="77"/>
  <c r="E54" i="77"/>
  <c r="E56" i="77"/>
  <c r="E57" i="77"/>
  <c r="F57" i="77"/>
  <c r="G57" i="77"/>
  <c r="H57" i="77"/>
  <c r="J57" i="77"/>
  <c r="E58" i="77"/>
  <c r="F58" i="77"/>
  <c r="G58" i="77"/>
  <c r="H58" i="77"/>
  <c r="J58" i="77"/>
  <c r="E59" i="77"/>
  <c r="F59" i="77"/>
  <c r="G59" i="77"/>
  <c r="H59" i="77"/>
  <c r="J59" i="77"/>
  <c r="E60" i="77"/>
  <c r="F60" i="77"/>
  <c r="G60" i="77"/>
  <c r="H60" i="77"/>
  <c r="J60" i="77"/>
  <c r="E62" i="77"/>
  <c r="E63" i="77"/>
  <c r="E64" i="77"/>
  <c r="E65" i="77"/>
  <c r="E66" i="77"/>
  <c r="E68" i="77"/>
  <c r="F68" i="77"/>
  <c r="E69" i="77"/>
  <c r="F69" i="77"/>
  <c r="E70" i="77"/>
  <c r="F70" i="77"/>
  <c r="E71" i="77"/>
  <c r="F71" i="77"/>
  <c r="E72" i="77"/>
  <c r="F72" i="77"/>
  <c r="E73" i="77"/>
  <c r="F73" i="77"/>
  <c r="E74" i="77"/>
  <c r="F74" i="77"/>
  <c r="E75" i="77"/>
  <c r="F75" i="77"/>
  <c r="E76" i="77"/>
  <c r="F76" i="77"/>
  <c r="E78" i="77"/>
  <c r="E79" i="77"/>
  <c r="E80" i="77"/>
  <c r="F80" i="77"/>
  <c r="I80" i="77" s="1"/>
  <c r="J80" i="77"/>
  <c r="E81" i="77"/>
  <c r="F81" i="77"/>
  <c r="I81" i="77" s="1"/>
  <c r="J81" i="77"/>
  <c r="E82" i="77"/>
  <c r="F82" i="77"/>
  <c r="I82" i="77" s="1"/>
  <c r="J82" i="77"/>
  <c r="E84" i="77"/>
  <c r="E85" i="77"/>
  <c r="E86" i="77"/>
  <c r="F86" i="77"/>
  <c r="I86" i="77" s="1"/>
  <c r="J86" i="77"/>
  <c r="E87" i="77"/>
  <c r="F87" i="77"/>
  <c r="I87" i="77"/>
  <c r="J87" i="77"/>
  <c r="E88" i="77"/>
  <c r="F88" i="77"/>
  <c r="I88" i="77"/>
  <c r="J88" i="77"/>
  <c r="N5" i="69" l="1"/>
  <c r="H56" i="77" l="1"/>
  <c r="G48" i="77"/>
  <c r="O4" i="73" l="1"/>
  <c r="O7" i="73"/>
  <c r="O8" i="73"/>
  <c r="O9" i="73"/>
  <c r="O10" i="73"/>
  <c r="O11" i="73"/>
  <c r="O12" i="73"/>
  <c r="O13" i="73"/>
  <c r="O14" i="73"/>
  <c r="O15" i="73"/>
  <c r="O16" i="73"/>
  <c r="O17" i="73"/>
  <c r="O18" i="73"/>
  <c r="O19" i="73"/>
  <c r="O20" i="73"/>
  <c r="O21" i="73"/>
  <c r="O22" i="73"/>
  <c r="O23" i="73"/>
  <c r="O24" i="73"/>
  <c r="M4" i="72"/>
  <c r="I4" i="69"/>
  <c r="AG4" i="67" l="1"/>
  <c r="K5" i="69" l="1"/>
  <c r="F56" i="77" s="1"/>
  <c r="L5" i="69"/>
  <c r="M5" i="69"/>
  <c r="O5" i="69"/>
  <c r="P5" i="69"/>
  <c r="S5" i="69" s="1"/>
  <c r="Q5" i="69"/>
  <c r="I6" i="69"/>
  <c r="I7" i="69"/>
  <c r="I8" i="69"/>
  <c r="AF9" i="55"/>
  <c r="F44" i="77" s="1"/>
  <c r="I44" i="77" s="1"/>
  <c r="G44" i="77"/>
  <c r="F45" i="77"/>
  <c r="I45" i="77" s="1"/>
  <c r="G45" i="77"/>
  <c r="F46" i="77"/>
  <c r="I46" i="77" s="1"/>
  <c r="G46" i="77"/>
  <c r="F47" i="77"/>
  <c r="I47" i="77" s="1"/>
  <c r="G47" i="77"/>
  <c r="F48" i="77"/>
  <c r="I48" i="77" s="1"/>
  <c r="AC10" i="55" a="1"/>
  <c r="AC10" i="55" s="1"/>
  <c r="AC12" i="55" a="1"/>
  <c r="AC12" i="55" s="1"/>
  <c r="AC13" i="55" a="1"/>
  <c r="AC13" i="55" s="1"/>
  <c r="Z11" i="55"/>
  <c r="Z12" i="55"/>
  <c r="Z13" i="55"/>
  <c r="U9" i="55"/>
  <c r="U10" i="55"/>
  <c r="U11" i="55"/>
  <c r="U12" i="55"/>
  <c r="P9" i="55"/>
  <c r="P10" i="55"/>
  <c r="P11" i="55"/>
  <c r="U7" i="69" l="1" a="1"/>
  <c r="U7" i="69" s="1"/>
  <c r="V7" i="69"/>
  <c r="V6" i="69"/>
  <c r="U6" i="69" a="1"/>
  <c r="U6" i="69" s="1"/>
  <c r="V8" i="69"/>
  <c r="U8" i="69" a="1"/>
  <c r="U8" i="69" s="1"/>
  <c r="BP9" i="55"/>
  <c r="AY9" i="55"/>
  <c r="U5" i="69" a="1"/>
  <c r="U5" i="69" s="1"/>
  <c r="AC11" i="55" a="1"/>
  <c r="AC11" i="55" s="1"/>
  <c r="F9" i="31"/>
  <c r="G56" i="77"/>
  <c r="H45" i="77"/>
  <c r="AC9" i="55" a="1"/>
  <c r="AC9" i="55" s="1"/>
  <c r="AD9" i="55" s="1"/>
  <c r="H48" i="77"/>
  <c r="H46" i="77"/>
  <c r="H44" i="77"/>
  <c r="H47" i="77"/>
  <c r="AD13" i="55"/>
  <c r="AD12" i="55"/>
  <c r="AD10" i="55"/>
  <c r="AD11" i="55" l="1"/>
  <c r="C7" i="71" s="1"/>
  <c r="C6" i="71"/>
  <c r="D6" i="71" s="1"/>
  <c r="V5" i="69"/>
  <c r="J56" i="77"/>
  <c r="J46" i="77"/>
  <c r="BL9" i="55"/>
  <c r="J47" i="77"/>
  <c r="BI9" i="55"/>
  <c r="BO9" i="55" l="1" a="1"/>
  <c r="BO9" i="55" s="1"/>
  <c r="BN9" i="55" a="1"/>
  <c r="BN9" i="55" s="1"/>
  <c r="J48" i="77"/>
  <c r="J45" i="77"/>
  <c r="J44" i="77"/>
  <c r="BR9" i="55"/>
  <c r="BQ9" i="55"/>
  <c r="V34" i="48" l="1"/>
  <c r="Q30" i="31" l="1"/>
  <c r="Q32" i="31"/>
  <c r="Q34" i="31"/>
  <c r="Q35" i="31"/>
  <c r="Q36" i="31"/>
  <c r="J5" i="73" l="1"/>
  <c r="F4" i="73"/>
  <c r="E4" i="72"/>
  <c r="H4" i="72"/>
  <c r="I4" i="72"/>
  <c r="G4" i="72"/>
  <c r="F5" i="73"/>
  <c r="F6" i="73"/>
  <c r="F7" i="73"/>
  <c r="F8" i="73"/>
  <c r="F9" i="73"/>
  <c r="F10" i="73"/>
  <c r="F11" i="73"/>
  <c r="F12" i="73"/>
  <c r="F13" i="73"/>
  <c r="F14" i="73"/>
  <c r="F15" i="73"/>
  <c r="F16" i="73"/>
  <c r="F17" i="73"/>
  <c r="F18" i="73"/>
  <c r="F19" i="73"/>
  <c r="F20" i="73"/>
  <c r="F21" i="73"/>
  <c r="F22" i="73"/>
  <c r="F23" i="73"/>
  <c r="F24" i="73"/>
  <c r="E7" i="72"/>
  <c r="E8" i="72"/>
  <c r="E9" i="72"/>
  <c r="E10" i="72"/>
  <c r="E11" i="72"/>
  <c r="E12" i="72"/>
  <c r="E13" i="72"/>
  <c r="E14" i="72"/>
  <c r="E15" i="72"/>
  <c r="E16" i="72"/>
  <c r="E17" i="72"/>
  <c r="E18" i="72"/>
  <c r="E19" i="72"/>
  <c r="E20" i="72"/>
  <c r="E21" i="72"/>
  <c r="E22" i="72"/>
  <c r="E23" i="72"/>
  <c r="E24" i="72"/>
  <c r="J4" i="72" l="1"/>
  <c r="E25" i="72"/>
  <c r="H4" i="73" l="1"/>
  <c r="I4" i="73"/>
  <c r="J4" i="73"/>
  <c r="K4" i="73"/>
  <c r="I5" i="73"/>
  <c r="K5" i="73"/>
  <c r="I5" i="72"/>
  <c r="L4" i="73" l="1"/>
  <c r="L5" i="73"/>
  <c r="K6" i="71"/>
  <c r="J84" i="77" l="1"/>
  <c r="O5" i="73"/>
  <c r="K5" i="71"/>
  <c r="I5" i="71"/>
  <c r="J5" i="71"/>
  <c r="O5" i="71" s="1"/>
  <c r="H5" i="71"/>
  <c r="F5" i="71"/>
  <c r="L5" i="71" s="1"/>
  <c r="AL8" i="55" l="1"/>
  <c r="AG8" i="55" l="1"/>
  <c r="AJ77" i="70" l="1"/>
  <c r="AI77" i="70" a="1"/>
  <c r="AI77" i="70" s="1"/>
  <c r="AI21" i="70" a="1"/>
  <c r="AI21" i="70" s="1"/>
  <c r="AJ21" i="70"/>
  <c r="AI92" i="70" a="1"/>
  <c r="AI92" i="70" s="1"/>
  <c r="AJ92" i="70"/>
  <c r="AJ102" i="70"/>
  <c r="AI102" i="70" a="1"/>
  <c r="AI102" i="70" s="1"/>
  <c r="AJ94" i="70"/>
  <c r="AI94" i="70" a="1"/>
  <c r="AI94" i="70" s="1"/>
  <c r="AI86" i="70" a="1"/>
  <c r="AI86" i="70" s="1"/>
  <c r="AJ86" i="70"/>
  <c r="AJ78" i="70"/>
  <c r="AI78" i="70" a="1"/>
  <c r="AI78" i="70" s="1"/>
  <c r="AI70" i="70" a="1"/>
  <c r="AI70" i="70" s="1"/>
  <c r="AJ70" i="70"/>
  <c r="AJ62" i="70"/>
  <c r="AI62" i="70" a="1"/>
  <c r="AI62" i="70" s="1"/>
  <c r="AJ54" i="70"/>
  <c r="AI54" i="70" a="1"/>
  <c r="AI54" i="70" s="1"/>
  <c r="AI46" i="70" a="1"/>
  <c r="AI46" i="70" s="1"/>
  <c r="AJ46" i="70"/>
  <c r="AI38" i="70" a="1"/>
  <c r="AI38" i="70" s="1"/>
  <c r="AJ38" i="70"/>
  <c r="AI30" i="70" a="1"/>
  <c r="AI30" i="70" s="1"/>
  <c r="AJ30" i="70"/>
  <c r="AI22" i="70" a="1"/>
  <c r="AI22" i="70" s="1"/>
  <c r="AJ22" i="70"/>
  <c r="AI14" i="70" a="1"/>
  <c r="AI14" i="70" s="1"/>
  <c r="AJ14" i="70"/>
  <c r="AJ101" i="70"/>
  <c r="AI101" i="70" a="1"/>
  <c r="AI101" i="70" s="1"/>
  <c r="AJ69" i="70"/>
  <c r="AI69" i="70" a="1"/>
  <c r="AI69" i="70" s="1"/>
  <c r="AJ45" i="70"/>
  <c r="AI45" i="70" a="1"/>
  <c r="AI45" i="70" s="1"/>
  <c r="AI13" i="70" a="1"/>
  <c r="AI13" i="70" s="1"/>
  <c r="AJ13" i="70"/>
  <c r="AJ76" i="70"/>
  <c r="AI76" i="70" a="1"/>
  <c r="AI76" i="70" s="1"/>
  <c r="AJ52" i="70"/>
  <c r="AI52" i="70" a="1"/>
  <c r="AI52" i="70" s="1"/>
  <c r="AI20" i="70" a="1"/>
  <c r="AI20" i="70" s="1"/>
  <c r="AJ20" i="70"/>
  <c r="AI91" i="70" a="1"/>
  <c r="AI91" i="70" s="1"/>
  <c r="AJ91" i="70"/>
  <c r="AI67" i="70" a="1"/>
  <c r="AI67" i="70" s="1"/>
  <c r="AJ67" i="70"/>
  <c r="AI43" i="70" a="1"/>
  <c r="AI43" i="70" s="1"/>
  <c r="AJ43" i="70"/>
  <c r="AI11" i="70" a="1"/>
  <c r="AI11" i="70" s="1"/>
  <c r="AJ11" i="70"/>
  <c r="AI82" i="70" a="1"/>
  <c r="AI82" i="70" s="1"/>
  <c r="AJ82" i="70"/>
  <c r="AI58" i="70" a="1"/>
  <c r="AI58" i="70" s="1"/>
  <c r="AJ58" i="70"/>
  <c r="AI73" i="70" a="1"/>
  <c r="AI73" i="70" s="1"/>
  <c r="AJ73" i="70"/>
  <c r="AI8" i="70" a="1"/>
  <c r="AI8" i="70" s="1"/>
  <c r="AJ8" i="70"/>
  <c r="AJ93" i="70"/>
  <c r="AI93" i="70" a="1"/>
  <c r="AI93" i="70" s="1"/>
  <c r="AJ61" i="70"/>
  <c r="AI61" i="70" a="1"/>
  <c r="AI61" i="70" s="1"/>
  <c r="AJ37" i="70"/>
  <c r="AI37" i="70" a="1"/>
  <c r="AI37" i="70" s="1"/>
  <c r="AJ100" i="70"/>
  <c r="AI100" i="70" a="1"/>
  <c r="AI100" i="70" s="1"/>
  <c r="AI68" i="70" a="1"/>
  <c r="AI68" i="70" s="1"/>
  <c r="AJ68" i="70"/>
  <c r="AI44" i="70" a="1"/>
  <c r="AI44" i="70" s="1"/>
  <c r="AJ44" i="70"/>
  <c r="AI28" i="70" a="1"/>
  <c r="AI28" i="70" s="1"/>
  <c r="AJ28" i="70"/>
  <c r="AI99" i="70" a="1"/>
  <c r="AI99" i="70" s="1"/>
  <c r="AJ99" i="70"/>
  <c r="AI75" i="70" a="1"/>
  <c r="AI75" i="70" s="1"/>
  <c r="AJ75" i="70"/>
  <c r="AI51" i="70" a="1"/>
  <c r="AI51" i="70" s="1"/>
  <c r="AJ51" i="70"/>
  <c r="AI27" i="70" a="1"/>
  <c r="AI27" i="70" s="1"/>
  <c r="AJ27" i="70"/>
  <c r="AJ98" i="70"/>
  <c r="AI98" i="70" a="1"/>
  <c r="AI98" i="70" s="1"/>
  <c r="AI74" i="70" a="1"/>
  <c r="AI74" i="70" s="1"/>
  <c r="AJ74" i="70"/>
  <c r="AI50" i="70" a="1"/>
  <c r="AI50" i="70" s="1"/>
  <c r="AJ50" i="70"/>
  <c r="AJ18" i="70"/>
  <c r="AI18" i="70" a="1"/>
  <c r="AI18" i="70" s="1"/>
  <c r="AJ97" i="70"/>
  <c r="AI97" i="70" a="1"/>
  <c r="AI97" i="70" s="1"/>
  <c r="AJ81" i="70"/>
  <c r="AI81" i="70" a="1"/>
  <c r="AI81" i="70" s="1"/>
  <c r="AI64" i="70" a="1"/>
  <c r="AI64" i="70" s="1"/>
  <c r="AJ64" i="70"/>
  <c r="AI7" i="70" a="1"/>
  <c r="AI7" i="70" s="1"/>
  <c r="AJ7" i="70"/>
  <c r="AI85" i="70" a="1"/>
  <c r="AI85" i="70" s="1"/>
  <c r="AJ85" i="70"/>
  <c r="AI53" i="70" a="1"/>
  <c r="AI53" i="70" s="1"/>
  <c r="AJ53" i="70"/>
  <c r="AJ29" i="70"/>
  <c r="AI29" i="70" a="1"/>
  <c r="AI29" i="70" s="1"/>
  <c r="AI84" i="70" a="1"/>
  <c r="AI84" i="70" s="1"/>
  <c r="AJ84" i="70"/>
  <c r="AI60" i="70" a="1"/>
  <c r="AI60" i="70" s="1"/>
  <c r="AJ60" i="70"/>
  <c r="AJ36" i="70"/>
  <c r="AI36" i="70" a="1"/>
  <c r="AI36" i="70" s="1"/>
  <c r="AI12" i="70" a="1"/>
  <c r="AI12" i="70" s="1"/>
  <c r="AJ12" i="70"/>
  <c r="AI83" i="70" a="1"/>
  <c r="AI83" i="70" s="1"/>
  <c r="AJ83" i="70"/>
  <c r="AI59" i="70" a="1"/>
  <c r="AI59" i="70" s="1"/>
  <c r="AJ59" i="70"/>
  <c r="AI35" i="70" a="1"/>
  <c r="AI35" i="70" s="1"/>
  <c r="AJ35" i="70"/>
  <c r="AI19" i="70" a="1"/>
  <c r="AI19" i="70" s="1"/>
  <c r="AJ19" i="70"/>
  <c r="AI90" i="70" a="1"/>
  <c r="AI90" i="70" s="1"/>
  <c r="AJ90" i="70"/>
  <c r="AI66" i="70" a="1"/>
  <c r="AI66" i="70" s="1"/>
  <c r="AJ66" i="70"/>
  <c r="AI42" i="70" a="1"/>
  <c r="AI42" i="70" s="1"/>
  <c r="AJ42" i="70"/>
  <c r="AI34" i="70" a="1"/>
  <c r="AI34" i="70" s="1"/>
  <c r="AJ34" i="70"/>
  <c r="AI26" i="70" a="1"/>
  <c r="AI26" i="70" s="1"/>
  <c r="AJ26" i="70"/>
  <c r="AJ9" i="70"/>
  <c r="AI9" i="70" a="1"/>
  <c r="AI9" i="70" s="1"/>
  <c r="AJ89" i="70"/>
  <c r="AI89" i="70" a="1"/>
  <c r="AI89" i="70" s="1"/>
  <c r="AJ65" i="70"/>
  <c r="AI65" i="70" a="1"/>
  <c r="AI65" i="70" s="1"/>
  <c r="AI57" i="70" a="1"/>
  <c r="AI57" i="70" s="1"/>
  <c r="AJ57" i="70"/>
  <c r="AI49" i="70" a="1"/>
  <c r="AI49" i="70" s="1"/>
  <c r="AJ49" i="70"/>
  <c r="AI41" i="70" a="1"/>
  <c r="AI41" i="70" s="1"/>
  <c r="AJ41" i="70"/>
  <c r="AI33" i="70" a="1"/>
  <c r="AI33" i="70" s="1"/>
  <c r="AJ33" i="70"/>
  <c r="AI25" i="70" a="1"/>
  <c r="AI25" i="70" s="1"/>
  <c r="AJ25" i="70"/>
  <c r="AI17" i="70" a="1"/>
  <c r="AI17" i="70" s="1"/>
  <c r="AJ17" i="70"/>
  <c r="AI104" i="70" a="1"/>
  <c r="AI104" i="70" s="1"/>
  <c r="AJ104" i="70"/>
  <c r="AI96" i="70" a="1"/>
  <c r="AI96" i="70" s="1"/>
  <c r="AJ96" i="70"/>
  <c r="AJ88" i="70"/>
  <c r="AI88" i="70" a="1"/>
  <c r="AI88" i="70" s="1"/>
  <c r="AI80" i="70" a="1"/>
  <c r="AI80" i="70" s="1"/>
  <c r="AJ80" i="70"/>
  <c r="AI72" i="70" a="1"/>
  <c r="AI72" i="70" s="1"/>
  <c r="AJ72" i="70"/>
  <c r="AI56" i="70" a="1"/>
  <c r="AI56" i="70" s="1"/>
  <c r="AJ56" i="70"/>
  <c r="AI48" i="70" a="1"/>
  <c r="AI48" i="70" s="1"/>
  <c r="AJ48" i="70"/>
  <c r="AI40" i="70" a="1"/>
  <c r="AI40" i="70" s="1"/>
  <c r="AJ40" i="70"/>
  <c r="AI32" i="70" a="1"/>
  <c r="AI32" i="70" s="1"/>
  <c r="AJ32" i="70"/>
  <c r="AI24" i="70" a="1"/>
  <c r="AI24" i="70" s="1"/>
  <c r="AJ24" i="70"/>
  <c r="AJ16" i="70"/>
  <c r="AI16" i="70" a="1"/>
  <c r="AI16" i="70" s="1"/>
  <c r="AI103" i="70" a="1"/>
  <c r="AI103" i="70" s="1"/>
  <c r="AJ103" i="70"/>
  <c r="AJ95" i="70"/>
  <c r="AI95" i="70" a="1"/>
  <c r="AI95" i="70" s="1"/>
  <c r="AI87" i="70" a="1"/>
  <c r="AI87" i="70" s="1"/>
  <c r="AJ87" i="70"/>
  <c r="AJ79" i="70"/>
  <c r="AI79" i="70" a="1"/>
  <c r="AI79" i="70" s="1"/>
  <c r="AI71" i="70" a="1"/>
  <c r="AI71" i="70" s="1"/>
  <c r="AJ71" i="70"/>
  <c r="AI63" i="70" a="1"/>
  <c r="AI63" i="70" s="1"/>
  <c r="AJ63" i="70"/>
  <c r="AI55" i="70" a="1"/>
  <c r="AI55" i="70" s="1"/>
  <c r="AJ55" i="70"/>
  <c r="AJ47" i="70"/>
  <c r="AI47" i="70" a="1"/>
  <c r="AI47" i="70" s="1"/>
  <c r="AI39" i="70" a="1"/>
  <c r="AI39" i="70" s="1"/>
  <c r="AJ39" i="70"/>
  <c r="AJ31" i="70"/>
  <c r="AI31" i="70" a="1"/>
  <c r="AI31" i="70" s="1"/>
  <c r="AI23" i="70" a="1"/>
  <c r="AI23" i="70" s="1"/>
  <c r="AJ23" i="70"/>
  <c r="AJ15" i="70"/>
  <c r="AI15" i="70" a="1"/>
  <c r="AI15" i="70" s="1"/>
  <c r="AI6" i="70" a="1"/>
  <c r="AI6" i="70" s="1"/>
  <c r="AJ6" i="70"/>
  <c r="O105" i="70"/>
  <c r="H5" i="73" l="1"/>
  <c r="F84" i="77" s="1"/>
  <c r="H6" i="73"/>
  <c r="F85" i="77" s="1"/>
  <c r="I6" i="73"/>
  <c r="J6" i="73"/>
  <c r="K6" i="73"/>
  <c r="G5" i="72"/>
  <c r="H5" i="72"/>
  <c r="F79" i="77"/>
  <c r="I79" i="77" s="1"/>
  <c r="N5" i="67"/>
  <c r="S5" i="67"/>
  <c r="X5" i="67"/>
  <c r="Z5" i="67" a="1"/>
  <c r="Z5" i="67" s="1"/>
  <c r="AD5" i="67"/>
  <c r="F50" i="77" s="1"/>
  <c r="F78" i="77" l="1"/>
  <c r="AU5" i="67"/>
  <c r="AA5" i="67" a="1"/>
  <c r="AA5" i="67" s="1"/>
  <c r="H50" i="77"/>
  <c r="AZ5" i="67"/>
  <c r="G50" i="77"/>
  <c r="L6" i="73"/>
  <c r="J85" i="77" s="1"/>
  <c r="J5" i="72"/>
  <c r="AP5" i="67"/>
  <c r="I78" i="77" l="1"/>
  <c r="O6" i="73"/>
  <c r="J78" i="77"/>
  <c r="I84" i="77"/>
  <c r="J79" i="77"/>
  <c r="I85" i="77"/>
  <c r="M5" i="72"/>
  <c r="AB5" i="67"/>
  <c r="BL5" i="67"/>
  <c r="C8" i="71" l="1"/>
  <c r="C10" i="71"/>
  <c r="BM5" i="67"/>
  <c r="BH5" i="67"/>
  <c r="BK5" i="67" l="1" a="1"/>
  <c r="BK5" i="67" s="1"/>
  <c r="BJ5" i="67" a="1"/>
  <c r="BJ5" i="67" s="1"/>
  <c r="BN5" i="67"/>
  <c r="J50" i="77"/>
  <c r="H9" i="73"/>
  <c r="H7" i="73" l="1"/>
  <c r="I7" i="73"/>
  <c r="L7" i="73" s="1"/>
  <c r="J7" i="73"/>
  <c r="K7" i="73"/>
  <c r="H8" i="73"/>
  <c r="I8" i="73"/>
  <c r="L8" i="73" s="1"/>
  <c r="J8" i="73"/>
  <c r="K8" i="73"/>
  <c r="I9" i="73"/>
  <c r="L9" i="73" s="1"/>
  <c r="J9" i="73"/>
  <c r="K9" i="73"/>
  <c r="H10" i="73"/>
  <c r="I10" i="73"/>
  <c r="L10" i="73" s="1"/>
  <c r="J10" i="73"/>
  <c r="K10" i="73"/>
  <c r="H11" i="73"/>
  <c r="I11" i="73"/>
  <c r="L11" i="73" s="1"/>
  <c r="J11" i="73"/>
  <c r="K11" i="73"/>
  <c r="H12" i="73"/>
  <c r="I12" i="73"/>
  <c r="L12" i="73" s="1"/>
  <c r="J12" i="73"/>
  <c r="K12" i="73"/>
  <c r="H13" i="73"/>
  <c r="I13" i="73"/>
  <c r="L13" i="73" s="1"/>
  <c r="J13" i="73"/>
  <c r="K13" i="73"/>
  <c r="H14" i="73"/>
  <c r="I14" i="73"/>
  <c r="L14" i="73" s="1"/>
  <c r="J14" i="73"/>
  <c r="K14" i="73"/>
  <c r="H15" i="73"/>
  <c r="I15" i="73"/>
  <c r="L15" i="73" s="1"/>
  <c r="J15" i="73"/>
  <c r="K15" i="73"/>
  <c r="H16" i="73"/>
  <c r="I16" i="73"/>
  <c r="L16" i="73" s="1"/>
  <c r="J16" i="73"/>
  <c r="K16" i="73"/>
  <c r="H17" i="73"/>
  <c r="I17" i="73"/>
  <c r="L17" i="73" s="1"/>
  <c r="J17" i="73"/>
  <c r="K17" i="73"/>
  <c r="H18" i="73"/>
  <c r="I18" i="73"/>
  <c r="L18" i="73" s="1"/>
  <c r="J18" i="73"/>
  <c r="K18" i="73"/>
  <c r="H19" i="73"/>
  <c r="I19" i="73"/>
  <c r="L19" i="73" s="1"/>
  <c r="J19" i="73"/>
  <c r="K19" i="73"/>
  <c r="H20" i="73"/>
  <c r="I20" i="73"/>
  <c r="L20" i="73" s="1"/>
  <c r="J20" i="73"/>
  <c r="K20" i="73"/>
  <c r="H21" i="73"/>
  <c r="I21" i="73"/>
  <c r="L21" i="73" s="1"/>
  <c r="J21" i="73"/>
  <c r="K21" i="73"/>
  <c r="H22" i="73"/>
  <c r="I22" i="73"/>
  <c r="L22" i="73" s="1"/>
  <c r="J22" i="73"/>
  <c r="K22" i="73"/>
  <c r="H23" i="73"/>
  <c r="I23" i="73"/>
  <c r="L23" i="73" s="1"/>
  <c r="J23" i="73"/>
  <c r="K23" i="73"/>
  <c r="H24" i="73"/>
  <c r="I24" i="73"/>
  <c r="L24" i="73" s="1"/>
  <c r="J24" i="73"/>
  <c r="K24" i="73"/>
  <c r="J25" i="72" l="1"/>
  <c r="F25" i="73"/>
  <c r="O25" i="73" l="1"/>
  <c r="L25" i="73"/>
  <c r="M25" i="72"/>
  <c r="H6" i="71"/>
  <c r="K4" i="69"/>
  <c r="L4" i="69"/>
  <c r="M4" i="69"/>
  <c r="N4" i="69"/>
  <c r="O4" i="69"/>
  <c r="P4" i="69"/>
  <c r="Q4" i="69"/>
  <c r="T8" i="55"/>
  <c r="AX8" i="55" s="1"/>
  <c r="Z8" i="55"/>
  <c r="X4" i="67"/>
  <c r="AF8" i="55"/>
  <c r="AH8" i="55"/>
  <c r="AI8" i="55"/>
  <c r="AK8" i="55"/>
  <c r="AM8" i="55"/>
  <c r="AN8" i="55"/>
  <c r="AO8" i="55"/>
  <c r="AR8" i="55"/>
  <c r="AW8" i="55"/>
  <c r="BB8" i="55"/>
  <c r="BE8" i="55"/>
  <c r="O8" i="55"/>
  <c r="BC8" i="55"/>
  <c r="AB8" i="55" a="1"/>
  <c r="AB8" i="55" s="1"/>
  <c r="AD4" i="67"/>
  <c r="AE4" i="67"/>
  <c r="AF4" i="67"/>
  <c r="AH4" i="67"/>
  <c r="AI4" i="67"/>
  <c r="AK4" i="67"/>
  <c r="AN4" i="67"/>
  <c r="AS4" i="67"/>
  <c r="AX4" i="67"/>
  <c r="BA4" i="67"/>
  <c r="Z4" i="67" a="1"/>
  <c r="Z4" i="67" s="1"/>
  <c r="AY4" i="67"/>
  <c r="R4" i="67"/>
  <c r="AT4" i="67" s="1"/>
  <c r="M4" i="67"/>
  <c r="AA4" i="67" s="1" a="1"/>
  <c r="AA4" i="67" s="1"/>
  <c r="S4" i="69" l="1"/>
  <c r="V4" i="69" s="1"/>
  <c r="P8" i="55"/>
  <c r="AC8" i="55" a="1"/>
  <c r="AC8" i="55" s="1"/>
  <c r="AD8" i="55" s="1"/>
  <c r="AO4" i="67"/>
  <c r="BM4" i="67" s="1"/>
  <c r="AB4" i="67"/>
  <c r="U8" i="55"/>
  <c r="AP4" i="67"/>
  <c r="AU4" i="67"/>
  <c r="N4" i="67"/>
  <c r="BL4" i="67"/>
  <c r="AY8" i="55"/>
  <c r="AS8" i="55"/>
  <c r="BD8" i="55"/>
  <c r="AZ4" i="67"/>
  <c r="BP8" i="55"/>
  <c r="D13" i="51"/>
  <c r="D14" i="51"/>
  <c r="D15" i="51"/>
  <c r="D16" i="51"/>
  <c r="AT8" i="55" l="1"/>
  <c r="BL8" i="55" s="1" a="1"/>
  <c r="BL8" i="55" s="1"/>
  <c r="BE4" i="67"/>
  <c r="BQ8" i="55"/>
  <c r="BI8" i="55"/>
  <c r="BN8" i="55" s="1" a="1"/>
  <c r="BN8" i="55" s="1"/>
  <c r="BH4" i="67" a="1"/>
  <c r="BH4" i="67" s="1"/>
  <c r="U4" i="69" a="1"/>
  <c r="U4" i="69" s="1"/>
  <c r="D11" i="51"/>
  <c r="D12" i="51"/>
  <c r="D17" i="51"/>
  <c r="D18" i="51"/>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95" i="51"/>
  <c r="D96" i="51"/>
  <c r="D97" i="51"/>
  <c r="D98" i="51"/>
  <c r="D99" i="51"/>
  <c r="D100" i="51"/>
  <c r="D101" i="51"/>
  <c r="D102" i="51"/>
  <c r="D103" i="51"/>
  <c r="D104" i="51"/>
  <c r="D5" i="51"/>
  <c r="D6" i="51"/>
  <c r="D7" i="51"/>
  <c r="D8" i="51"/>
  <c r="D9" i="51"/>
  <c r="D10" i="51"/>
  <c r="D4" i="51"/>
  <c r="AC17" i="55" a="1"/>
  <c r="AC17" i="55" s="1"/>
  <c r="AC14" i="55" a="1"/>
  <c r="AC14" i="55" s="1"/>
  <c r="AC15" i="55" a="1"/>
  <c r="AC15" i="55" s="1"/>
  <c r="AC16" i="55" a="1"/>
  <c r="AC16" i="55" s="1"/>
  <c r="AC18" i="55" a="1"/>
  <c r="AC18" i="55" s="1"/>
  <c r="AC19" i="55" a="1"/>
  <c r="AC19" i="55" s="1"/>
  <c r="AB20" i="55" a="1"/>
  <c r="AB20" i="55" s="1"/>
  <c r="AB21" i="55" a="1"/>
  <c r="AB21" i="55" s="1"/>
  <c r="AB22" i="55" a="1"/>
  <c r="AB22" i="55" s="1"/>
  <c r="AB23" i="55" a="1"/>
  <c r="AB23" i="55" s="1"/>
  <c r="AB24" i="55" a="1"/>
  <c r="AB24" i="55" s="1"/>
  <c r="AB25" i="55" a="1"/>
  <c r="AB25" i="55" s="1"/>
  <c r="AB26" i="55" a="1"/>
  <c r="AB26" i="55" s="1"/>
  <c r="AB27" i="55" a="1"/>
  <c r="AB27" i="55" s="1"/>
  <c r="AB28" i="55" a="1"/>
  <c r="AB28" i="55" s="1"/>
  <c r="AB29" i="55" a="1"/>
  <c r="AB29" i="55" s="1"/>
  <c r="AB30" i="55" a="1"/>
  <c r="AB30" i="55" s="1"/>
  <c r="AB31" i="55" a="1"/>
  <c r="AB31" i="55" s="1"/>
  <c r="AB32" i="55" a="1"/>
  <c r="AB32" i="55" s="1"/>
  <c r="AB33" i="55" a="1"/>
  <c r="AB33" i="55" s="1"/>
  <c r="AB34" i="55" a="1"/>
  <c r="AB34" i="55" s="1"/>
  <c r="AB35" i="55" a="1"/>
  <c r="AB35" i="55" s="1"/>
  <c r="AB36" i="55" a="1"/>
  <c r="AB36" i="55" s="1"/>
  <c r="AB37" i="55" a="1"/>
  <c r="AB37" i="55" s="1"/>
  <c r="AB38" i="55" a="1"/>
  <c r="AB38" i="55" s="1"/>
  <c r="AB39" i="55" a="1"/>
  <c r="AB39" i="55" s="1"/>
  <c r="AB40" i="55" a="1"/>
  <c r="AB40" i="55" s="1"/>
  <c r="AB41" i="55" a="1"/>
  <c r="AB41" i="55" s="1"/>
  <c r="AB42" i="55" a="1"/>
  <c r="AB42" i="55" s="1"/>
  <c r="AB43" i="55" a="1"/>
  <c r="AB43" i="55" s="1"/>
  <c r="AB44" i="55" a="1"/>
  <c r="AB44" i="55" s="1"/>
  <c r="AB45" i="55" a="1"/>
  <c r="AB45" i="55" s="1"/>
  <c r="AB46" i="55" a="1"/>
  <c r="AB46" i="55" s="1"/>
  <c r="AB47" i="55" a="1"/>
  <c r="AB47" i="55" s="1"/>
  <c r="AB48" i="55" a="1"/>
  <c r="AB48" i="55" s="1"/>
  <c r="AB49" i="55" a="1"/>
  <c r="AB49" i="55" s="1"/>
  <c r="AB50" i="55" a="1"/>
  <c r="AB50" i="55" s="1"/>
  <c r="AB51" i="55" a="1"/>
  <c r="AB51" i="55" s="1"/>
  <c r="AB52" i="55" a="1"/>
  <c r="AB52" i="55" s="1"/>
  <c r="AB53" i="55" a="1"/>
  <c r="AB53" i="55" s="1"/>
  <c r="AB54" i="55" a="1"/>
  <c r="AB54" i="55" s="1"/>
  <c r="AB55" i="55" a="1"/>
  <c r="AB55" i="55" s="1"/>
  <c r="AB56" i="55" a="1"/>
  <c r="AB56" i="55" s="1"/>
  <c r="AB57" i="55" a="1"/>
  <c r="AB57" i="55" s="1"/>
  <c r="AB58" i="55" a="1"/>
  <c r="AB58" i="55" s="1"/>
  <c r="AB59" i="55" a="1"/>
  <c r="AB59" i="55" s="1"/>
  <c r="AB60" i="55" a="1"/>
  <c r="AB60" i="55" s="1"/>
  <c r="AB61" i="55" a="1"/>
  <c r="AB61" i="55" s="1"/>
  <c r="AB62" i="55" a="1"/>
  <c r="AB62" i="55" s="1"/>
  <c r="AB63" i="55" a="1"/>
  <c r="AB63" i="55" s="1"/>
  <c r="AB64" i="55" a="1"/>
  <c r="AB64" i="55" s="1"/>
  <c r="AB65" i="55" a="1"/>
  <c r="AB65" i="55" s="1"/>
  <c r="AB66" i="55" a="1"/>
  <c r="AB66" i="55" s="1"/>
  <c r="AB67" i="55" a="1"/>
  <c r="AB67" i="55" s="1"/>
  <c r="AB68" i="55" a="1"/>
  <c r="AB68" i="55" s="1"/>
  <c r="AB69" i="55" a="1"/>
  <c r="AB69" i="55" s="1"/>
  <c r="AB70" i="55" a="1"/>
  <c r="AB70" i="55" s="1"/>
  <c r="AB71" i="55" a="1"/>
  <c r="AB71" i="55" s="1"/>
  <c r="AB72" i="55" a="1"/>
  <c r="AB72" i="55" s="1"/>
  <c r="AB73" i="55" a="1"/>
  <c r="AB73" i="55" s="1"/>
  <c r="AB74" i="55" a="1"/>
  <c r="AB74" i="55" s="1"/>
  <c r="AB75" i="55" a="1"/>
  <c r="AB75" i="55" s="1"/>
  <c r="AB76" i="55" a="1"/>
  <c r="AB76" i="55" s="1"/>
  <c r="AB77" i="55" a="1"/>
  <c r="AB77" i="55" s="1"/>
  <c r="AB78" i="55" a="1"/>
  <c r="AB78" i="55" s="1"/>
  <c r="AB79" i="55" a="1"/>
  <c r="AB79" i="55" s="1"/>
  <c r="AB80" i="55" a="1"/>
  <c r="AB80" i="55" s="1"/>
  <c r="AB81" i="55" a="1"/>
  <c r="AB81" i="55" s="1"/>
  <c r="AB82" i="55" a="1"/>
  <c r="AB82" i="55" s="1"/>
  <c r="AB83" i="55" a="1"/>
  <c r="AB83" i="55" s="1"/>
  <c r="AB84" i="55" a="1"/>
  <c r="AB84" i="55" s="1"/>
  <c r="AB85" i="55" a="1"/>
  <c r="AB85" i="55" s="1"/>
  <c r="AB86" i="55" a="1"/>
  <c r="AB86" i="55" s="1"/>
  <c r="AB87" i="55" a="1"/>
  <c r="AB87" i="55" s="1"/>
  <c r="AB88" i="55" a="1"/>
  <c r="AB88" i="55" s="1"/>
  <c r="AB89" i="55" a="1"/>
  <c r="AB89" i="55" s="1"/>
  <c r="AB90" i="55" a="1"/>
  <c r="AB90" i="55" s="1"/>
  <c r="AB91" i="55" a="1"/>
  <c r="AB91" i="55" s="1"/>
  <c r="AB92" i="55" a="1"/>
  <c r="AB92" i="55" s="1"/>
  <c r="AB93" i="55" a="1"/>
  <c r="AB93" i="55" s="1"/>
  <c r="AB94" i="55" a="1"/>
  <c r="AB94" i="55" s="1"/>
  <c r="AB95" i="55" a="1"/>
  <c r="AB95" i="55" s="1"/>
  <c r="AB96" i="55" a="1"/>
  <c r="AB96" i="55" s="1"/>
  <c r="AB97" i="55" a="1"/>
  <c r="AB97" i="55" s="1"/>
  <c r="AB98" i="55" a="1"/>
  <c r="AB98" i="55" s="1"/>
  <c r="AB99" i="55" a="1"/>
  <c r="AB99" i="55" s="1"/>
  <c r="AB100" i="55" a="1"/>
  <c r="AB100" i="55" s="1"/>
  <c r="AB101" i="55" a="1"/>
  <c r="AB101" i="55" s="1"/>
  <c r="AB102" i="55" a="1"/>
  <c r="AB102" i="55" s="1"/>
  <c r="AB103" i="55" a="1"/>
  <c r="AB103" i="55" s="1"/>
  <c r="AB104" i="55" a="1"/>
  <c r="AB104" i="55" s="1"/>
  <c r="AB105" i="55" a="1"/>
  <c r="AB105" i="55" s="1"/>
  <c r="AB106" i="55" a="1"/>
  <c r="AB106" i="55" s="1"/>
  <c r="AB107" i="55" a="1"/>
  <c r="AB107" i="55" s="1"/>
  <c r="AB108" i="55" a="1"/>
  <c r="AB108" i="55" s="1"/>
  <c r="H7" i="71"/>
  <c r="H8" i="71"/>
  <c r="H9" i="71"/>
  <c r="H10" i="71"/>
  <c r="H11" i="71"/>
  <c r="H12" i="71"/>
  <c r="H13" i="71"/>
  <c r="H14" i="71"/>
  <c r="BO8" i="55" l="1" a="1"/>
  <c r="BO8" i="55" s="1"/>
  <c r="BK4" i="67" a="1"/>
  <c r="BK4" i="67" s="1"/>
  <c r="AC101" i="55" a="1"/>
  <c r="AC101" i="55" s="1"/>
  <c r="AC61" i="55" a="1"/>
  <c r="AC61" i="55" s="1"/>
  <c r="AC84" i="55" a="1"/>
  <c r="AC84" i="55" s="1"/>
  <c r="AC52" i="55" a="1"/>
  <c r="AC52" i="55" s="1"/>
  <c r="AC83" i="55" a="1"/>
  <c r="AC83" i="55" s="1"/>
  <c r="AC106" i="55" a="1"/>
  <c r="AC106" i="55" s="1"/>
  <c r="AC94" i="55" a="1"/>
  <c r="AC94" i="55" s="1"/>
  <c r="AC78" i="55" a="1"/>
  <c r="AC78" i="55" s="1"/>
  <c r="AC62" i="55" a="1"/>
  <c r="AC62" i="55" s="1"/>
  <c r="AC46" i="55" a="1"/>
  <c r="AC46" i="55" s="1"/>
  <c r="AC30" i="55" a="1"/>
  <c r="AC30" i="55" s="1"/>
  <c r="AC22" i="55" a="1"/>
  <c r="AC22" i="55" s="1"/>
  <c r="AC69" i="55" a="1"/>
  <c r="AC69" i="55" s="1"/>
  <c r="AC29" i="55" a="1"/>
  <c r="AC29" i="55" s="1"/>
  <c r="AC21" i="55" a="1"/>
  <c r="AC21" i="55" s="1"/>
  <c r="AC53" i="55" a="1"/>
  <c r="AC53" i="55" s="1"/>
  <c r="AC44" i="55" a="1"/>
  <c r="AC44" i="55" s="1"/>
  <c r="AC20" i="55" a="1"/>
  <c r="AC20" i="55" s="1"/>
  <c r="AC100" i="55" a="1"/>
  <c r="AC100" i="55" s="1"/>
  <c r="AC28" i="55" a="1"/>
  <c r="AC28" i="55" s="1"/>
  <c r="AC51" i="55" a="1"/>
  <c r="AC51" i="55" s="1"/>
  <c r="AC43" i="55" a="1"/>
  <c r="AC43" i="55" s="1"/>
  <c r="AC35" i="55" a="1"/>
  <c r="AC35" i="55" s="1"/>
  <c r="AC27" i="55" a="1"/>
  <c r="AC27" i="55" s="1"/>
  <c r="AC108" i="55" a="1"/>
  <c r="AC108" i="55" s="1"/>
  <c r="AC91" i="55" a="1"/>
  <c r="AC91" i="55" s="1"/>
  <c r="AC74" i="55" a="1"/>
  <c r="AC74" i="55" s="1"/>
  <c r="AC42" i="55" a="1"/>
  <c r="AC42" i="55" s="1"/>
  <c r="AC34" i="55" a="1"/>
  <c r="AC34" i="55" s="1"/>
  <c r="AC26" i="55" a="1"/>
  <c r="AC26" i="55" s="1"/>
  <c r="AC77" i="55" a="1"/>
  <c r="AC77" i="55" s="1"/>
  <c r="AC92" i="55" a="1"/>
  <c r="AC92" i="55" s="1"/>
  <c r="AC60" i="55" a="1"/>
  <c r="AC60" i="55" s="1"/>
  <c r="AC99" i="55" a="1"/>
  <c r="AC99" i="55" s="1"/>
  <c r="AC59" i="55" a="1"/>
  <c r="AC59" i="55" s="1"/>
  <c r="AC82" i="55" a="1"/>
  <c r="AC82" i="55" s="1"/>
  <c r="AC58" i="55" a="1"/>
  <c r="AC58" i="55" s="1"/>
  <c r="AC105" i="55" a="1"/>
  <c r="AC105" i="55" s="1"/>
  <c r="AC97" i="55" a="1"/>
  <c r="AC97" i="55" s="1"/>
  <c r="AC89" i="55" a="1"/>
  <c r="AC89" i="55" s="1"/>
  <c r="AC81" i="55" a="1"/>
  <c r="AC81" i="55" s="1"/>
  <c r="AC73" i="55" a="1"/>
  <c r="AC73" i="55" s="1"/>
  <c r="AC65" i="55" a="1"/>
  <c r="AC65" i="55" s="1"/>
  <c r="AC57" i="55" a="1"/>
  <c r="AC57" i="55" s="1"/>
  <c r="AC49" i="55" a="1"/>
  <c r="AC49" i="55" s="1"/>
  <c r="AC41" i="55" a="1"/>
  <c r="AC41" i="55" s="1"/>
  <c r="AC33" i="55" a="1"/>
  <c r="AC33" i="55" s="1"/>
  <c r="AC25" i="55" a="1"/>
  <c r="AC25" i="55" s="1"/>
  <c r="AC85" i="55" a="1"/>
  <c r="AC85" i="55" s="1"/>
  <c r="AC37" i="55" a="1"/>
  <c r="AC37" i="55" s="1"/>
  <c r="AC68" i="55" a="1"/>
  <c r="AC68" i="55" s="1"/>
  <c r="AC36" i="55" a="1"/>
  <c r="AC36" i="55" s="1"/>
  <c r="AC75" i="55" a="1"/>
  <c r="AC75" i="55" s="1"/>
  <c r="AC98" i="55" a="1"/>
  <c r="AC98" i="55" s="1"/>
  <c r="AC66" i="55" a="1"/>
  <c r="AC66" i="55" s="1"/>
  <c r="AC50" i="55" a="1"/>
  <c r="AC50" i="55" s="1"/>
  <c r="AC104" i="55" a="1"/>
  <c r="AC104" i="55" s="1"/>
  <c r="AC96" i="55" a="1"/>
  <c r="AC96" i="55" s="1"/>
  <c r="AC88" i="55" a="1"/>
  <c r="AC88" i="55" s="1"/>
  <c r="AC80" i="55" a="1"/>
  <c r="AC80" i="55" s="1"/>
  <c r="AC72" i="55" a="1"/>
  <c r="AC72" i="55" s="1"/>
  <c r="AC64" i="55" a="1"/>
  <c r="AC64" i="55" s="1"/>
  <c r="AC56" i="55" a="1"/>
  <c r="AC56" i="55" s="1"/>
  <c r="AC48" i="55" a="1"/>
  <c r="AC48" i="55" s="1"/>
  <c r="AC40" i="55" a="1"/>
  <c r="AC40" i="55" s="1"/>
  <c r="AC32" i="55" a="1"/>
  <c r="AC32" i="55" s="1"/>
  <c r="AC24" i="55" a="1"/>
  <c r="AC24" i="55" s="1"/>
  <c r="AC93" i="55" a="1"/>
  <c r="AC93" i="55" s="1"/>
  <c r="AC45" i="55" a="1"/>
  <c r="AC45" i="55" s="1"/>
  <c r="AC76" i="55" a="1"/>
  <c r="AC76" i="55" s="1"/>
  <c r="AC107" i="55" a="1"/>
  <c r="AC107" i="55" s="1"/>
  <c r="AC67" i="55" a="1"/>
  <c r="AC67" i="55" s="1"/>
  <c r="AC90" i="55" a="1"/>
  <c r="AC90" i="55" s="1"/>
  <c r="AC103" i="55" a="1"/>
  <c r="AC103" i="55" s="1"/>
  <c r="AC95" i="55" a="1"/>
  <c r="AC95" i="55" s="1"/>
  <c r="AC87" i="55" a="1"/>
  <c r="AC87" i="55" s="1"/>
  <c r="AC79" i="55" a="1"/>
  <c r="AC79" i="55" s="1"/>
  <c r="AC71" i="55" a="1"/>
  <c r="AC71" i="55" s="1"/>
  <c r="AC63" i="55" a="1"/>
  <c r="AC63" i="55" s="1"/>
  <c r="AC55" i="55" a="1"/>
  <c r="AC55" i="55" s="1"/>
  <c r="AC47" i="55" a="1"/>
  <c r="AC47" i="55" s="1"/>
  <c r="AC39" i="55" a="1"/>
  <c r="AC39" i="55" s="1"/>
  <c r="AC31" i="55" a="1"/>
  <c r="AC31" i="55" s="1"/>
  <c r="AC23" i="55" a="1"/>
  <c r="AC23" i="55" s="1"/>
  <c r="BN4" i="67"/>
  <c r="AC70" i="55" a="1"/>
  <c r="AC70" i="55" s="1"/>
  <c r="AC54" i="55" a="1"/>
  <c r="AC54" i="55" s="1"/>
  <c r="AC102" i="55" a="1"/>
  <c r="AC102" i="55" s="1"/>
  <c r="AC38" i="55" a="1"/>
  <c r="AC38" i="55" s="1"/>
  <c r="AC86" i="55" a="1"/>
  <c r="AC86" i="55" s="1"/>
  <c r="AB109" i="55"/>
  <c r="AD19" i="55"/>
  <c r="AD18" i="55"/>
  <c r="AD106" i="55"/>
  <c r="AD62" i="55"/>
  <c r="AD16" i="55"/>
  <c r="AD15" i="55"/>
  <c r="AD14" i="55"/>
  <c r="AD17" i="55"/>
  <c r="I9" i="69"/>
  <c r="I10" i="69"/>
  <c r="I11" i="69"/>
  <c r="I12" i="69"/>
  <c r="I13" i="69"/>
  <c r="I14" i="69"/>
  <c r="I15" i="69"/>
  <c r="I16" i="69"/>
  <c r="I17" i="69"/>
  <c r="I18" i="69"/>
  <c r="I19" i="69"/>
  <c r="I20" i="69"/>
  <c r="I21" i="69"/>
  <c r="I22" i="69"/>
  <c r="I23" i="69"/>
  <c r="I24" i="69"/>
  <c r="I25" i="69"/>
  <c r="I26" i="69"/>
  <c r="I27" i="69"/>
  <c r="I28" i="69"/>
  <c r="I29" i="69"/>
  <c r="I30" i="69"/>
  <c r="I31" i="69"/>
  <c r="I32" i="69"/>
  <c r="I33" i="69"/>
  <c r="I34" i="69"/>
  <c r="I35" i="69"/>
  <c r="I36" i="69"/>
  <c r="I37" i="69"/>
  <c r="I38" i="69"/>
  <c r="I39" i="69"/>
  <c r="I40" i="69"/>
  <c r="I41" i="69"/>
  <c r="I42" i="69"/>
  <c r="I43" i="69"/>
  <c r="I44" i="69"/>
  <c r="I45" i="69"/>
  <c r="I46" i="69"/>
  <c r="I47" i="69"/>
  <c r="I48" i="69"/>
  <c r="I49" i="69"/>
  <c r="I50" i="69"/>
  <c r="I51" i="69"/>
  <c r="I52" i="69"/>
  <c r="I53" i="69"/>
  <c r="I54" i="69"/>
  <c r="I55" i="69"/>
  <c r="I56" i="69"/>
  <c r="I57" i="69"/>
  <c r="I58" i="69"/>
  <c r="I59" i="69"/>
  <c r="I60" i="69"/>
  <c r="I61" i="69"/>
  <c r="I62" i="69"/>
  <c r="I63" i="69"/>
  <c r="I64" i="69"/>
  <c r="I65" i="69"/>
  <c r="I66" i="69"/>
  <c r="I67" i="69"/>
  <c r="I68" i="69"/>
  <c r="I69" i="69"/>
  <c r="I70" i="69"/>
  <c r="I71" i="69"/>
  <c r="I72" i="69"/>
  <c r="I73" i="69"/>
  <c r="I74" i="69"/>
  <c r="I75" i="69"/>
  <c r="I76" i="69"/>
  <c r="I77" i="69"/>
  <c r="I78" i="69"/>
  <c r="I79" i="69"/>
  <c r="I80" i="69"/>
  <c r="I81" i="69"/>
  <c r="I82" i="69"/>
  <c r="I83" i="69"/>
  <c r="I84" i="69"/>
  <c r="I85" i="69"/>
  <c r="I86" i="69"/>
  <c r="I87" i="69"/>
  <c r="I88" i="69"/>
  <c r="I89" i="69"/>
  <c r="I90" i="69"/>
  <c r="I91" i="69"/>
  <c r="I92" i="69"/>
  <c r="I93" i="69"/>
  <c r="I94" i="69"/>
  <c r="I95" i="69"/>
  <c r="I96" i="69"/>
  <c r="I97" i="69"/>
  <c r="I98" i="69"/>
  <c r="I99" i="69"/>
  <c r="I100" i="69"/>
  <c r="I101" i="69"/>
  <c r="I102" i="69"/>
  <c r="I103" i="69"/>
  <c r="I104" i="69"/>
  <c r="Z6" i="67" a="1"/>
  <c r="Z6" i="67" s="1"/>
  <c r="BL6" i="67" s="1"/>
  <c r="Z7" i="67" a="1"/>
  <c r="Z7" i="67" s="1"/>
  <c r="BL7" i="67" s="1"/>
  <c r="Z8" i="67" a="1"/>
  <c r="Z8" i="67" s="1"/>
  <c r="BL8" i="67" s="1"/>
  <c r="Z9" i="67" a="1"/>
  <c r="Z9" i="67" s="1"/>
  <c r="BL9" i="67" s="1"/>
  <c r="Z10" i="67" a="1"/>
  <c r="Z10" i="67" s="1"/>
  <c r="BL10" i="67" s="1"/>
  <c r="Z11" i="67" a="1"/>
  <c r="Z11" i="67" s="1"/>
  <c r="BL11" i="67" s="1"/>
  <c r="Z12" i="67" a="1"/>
  <c r="Z12" i="67" s="1"/>
  <c r="BL12" i="67" s="1"/>
  <c r="Z13" i="67" a="1"/>
  <c r="Z13" i="67" s="1"/>
  <c r="BL13" i="67" s="1"/>
  <c r="Z14" i="67" a="1"/>
  <c r="Z14" i="67" s="1"/>
  <c r="BL14" i="67" s="1"/>
  <c r="Z15" i="67" a="1"/>
  <c r="Z15" i="67" s="1"/>
  <c r="BL15" i="67" s="1"/>
  <c r="Z16" i="67" a="1"/>
  <c r="Z16" i="67" s="1"/>
  <c r="BL16" i="67" s="1"/>
  <c r="Z17" i="67" a="1"/>
  <c r="Z17" i="67" s="1"/>
  <c r="BL17" i="67" s="1"/>
  <c r="Z18" i="67" a="1"/>
  <c r="Z18" i="67" s="1"/>
  <c r="BL18" i="67" s="1"/>
  <c r="Z19" i="67" a="1"/>
  <c r="Z19" i="67" s="1"/>
  <c r="BL19" i="67" s="1"/>
  <c r="Z20" i="67" a="1"/>
  <c r="Z20" i="67" s="1"/>
  <c r="BL20" i="67" s="1"/>
  <c r="Z21" i="67" a="1"/>
  <c r="Z21" i="67" s="1"/>
  <c r="BL21" i="67" s="1"/>
  <c r="Z22" i="67" a="1"/>
  <c r="Z22" i="67" s="1"/>
  <c r="BL22" i="67" s="1"/>
  <c r="Z23" i="67" a="1"/>
  <c r="Z23" i="67" s="1"/>
  <c r="BL23" i="67" s="1"/>
  <c r="Z24" i="67" a="1"/>
  <c r="Z24" i="67" s="1"/>
  <c r="BL24" i="67" s="1"/>
  <c r="Z25" i="67" a="1"/>
  <c r="Z25" i="67" s="1"/>
  <c r="BL25" i="67" s="1"/>
  <c r="Z26" i="67" a="1"/>
  <c r="Z26" i="67" s="1"/>
  <c r="BL26" i="67" s="1"/>
  <c r="Z27" i="67" a="1"/>
  <c r="Z27" i="67" s="1"/>
  <c r="BL27" i="67" s="1"/>
  <c r="Z28" i="67" a="1"/>
  <c r="Z28" i="67" s="1"/>
  <c r="BL28" i="67" s="1"/>
  <c r="Z29" i="67" a="1"/>
  <c r="Z29" i="67" s="1"/>
  <c r="BL29" i="67" s="1"/>
  <c r="Z30" i="67" a="1"/>
  <c r="Z30" i="67" s="1"/>
  <c r="BL30" i="67" s="1"/>
  <c r="Z31" i="67" a="1"/>
  <c r="Z31" i="67" s="1"/>
  <c r="BL31" i="67" s="1"/>
  <c r="Z32" i="67" a="1"/>
  <c r="Z32" i="67" s="1"/>
  <c r="BL32" i="67" s="1"/>
  <c r="Z33" i="67" a="1"/>
  <c r="Z33" i="67" s="1"/>
  <c r="BL33" i="67" s="1"/>
  <c r="Z34" i="67" a="1"/>
  <c r="Z34" i="67" s="1"/>
  <c r="BL34" i="67" s="1"/>
  <c r="Z35" i="67" a="1"/>
  <c r="Z35" i="67" s="1"/>
  <c r="BL35" i="67" s="1"/>
  <c r="Z36" i="67" a="1"/>
  <c r="Z36" i="67" s="1"/>
  <c r="BL36" i="67" s="1"/>
  <c r="Z37" i="67" a="1"/>
  <c r="Z37" i="67" s="1"/>
  <c r="BL37" i="67" s="1"/>
  <c r="Z38" i="67" a="1"/>
  <c r="Z38" i="67" s="1"/>
  <c r="BL38" i="67" s="1"/>
  <c r="Z39" i="67" a="1"/>
  <c r="Z39" i="67" s="1"/>
  <c r="BL39" i="67" s="1"/>
  <c r="Z40" i="67" a="1"/>
  <c r="Z40" i="67" s="1"/>
  <c r="BL40" i="67" s="1"/>
  <c r="Z41" i="67" a="1"/>
  <c r="Z41" i="67" s="1"/>
  <c r="BL41" i="67" s="1"/>
  <c r="Z42" i="67" a="1"/>
  <c r="Z42" i="67" s="1"/>
  <c r="BL42" i="67" s="1"/>
  <c r="Z43" i="67" a="1"/>
  <c r="Z43" i="67" s="1"/>
  <c r="BL43" i="67" s="1"/>
  <c r="Z44" i="67" a="1"/>
  <c r="Z44" i="67" s="1"/>
  <c r="BL44" i="67" s="1"/>
  <c r="Z45" i="67" a="1"/>
  <c r="Z45" i="67" s="1"/>
  <c r="BL45" i="67" s="1"/>
  <c r="Z46" i="67" a="1"/>
  <c r="Z46" i="67" s="1"/>
  <c r="BL46" i="67" s="1"/>
  <c r="Z47" i="67" a="1"/>
  <c r="Z47" i="67" s="1"/>
  <c r="BL47" i="67" s="1"/>
  <c r="Z48" i="67" a="1"/>
  <c r="Z48" i="67" s="1"/>
  <c r="BL48" i="67" s="1"/>
  <c r="Z49" i="67" a="1"/>
  <c r="Z49" i="67" s="1"/>
  <c r="BL49" i="67" s="1"/>
  <c r="Z50" i="67" a="1"/>
  <c r="Z50" i="67" s="1"/>
  <c r="BL50" i="67" s="1"/>
  <c r="Z51" i="67" a="1"/>
  <c r="Z51" i="67" s="1"/>
  <c r="BL51" i="67" s="1"/>
  <c r="Z52" i="67" a="1"/>
  <c r="Z52" i="67" s="1"/>
  <c r="BL52" i="67" s="1"/>
  <c r="Z53" i="67" a="1"/>
  <c r="Z53" i="67" s="1"/>
  <c r="BL53" i="67" s="1"/>
  <c r="Z54" i="67" a="1"/>
  <c r="Z54" i="67" s="1"/>
  <c r="BL54" i="67" s="1"/>
  <c r="Z55" i="67" a="1"/>
  <c r="Z55" i="67" s="1"/>
  <c r="BL55" i="67" s="1"/>
  <c r="Z56" i="67" a="1"/>
  <c r="Z56" i="67" s="1"/>
  <c r="BL56" i="67" s="1"/>
  <c r="Z57" i="67" a="1"/>
  <c r="Z57" i="67" s="1"/>
  <c r="BL57" i="67" s="1"/>
  <c r="Z58" i="67" a="1"/>
  <c r="Z58" i="67" s="1"/>
  <c r="BL58" i="67" s="1"/>
  <c r="Z59" i="67" a="1"/>
  <c r="Z59" i="67" s="1"/>
  <c r="BL59" i="67" s="1"/>
  <c r="Z60" i="67" a="1"/>
  <c r="Z60" i="67" s="1"/>
  <c r="BL60" i="67" s="1"/>
  <c r="Z61" i="67" a="1"/>
  <c r="Z61" i="67" s="1"/>
  <c r="BL61" i="67" s="1"/>
  <c r="Z62" i="67" a="1"/>
  <c r="Z62" i="67" s="1"/>
  <c r="BL62" i="67" s="1"/>
  <c r="Z63" i="67" a="1"/>
  <c r="Z63" i="67" s="1"/>
  <c r="BL63" i="67" s="1"/>
  <c r="Z64" i="67" a="1"/>
  <c r="Z64" i="67" s="1"/>
  <c r="BL64" i="67" s="1"/>
  <c r="Z65" i="67" a="1"/>
  <c r="Z65" i="67" s="1"/>
  <c r="BL65" i="67" s="1"/>
  <c r="Z66" i="67" a="1"/>
  <c r="Z66" i="67" s="1"/>
  <c r="BL66" i="67" s="1"/>
  <c r="Z67" i="67" a="1"/>
  <c r="Z67" i="67" s="1"/>
  <c r="BL67" i="67" s="1"/>
  <c r="Z68" i="67" a="1"/>
  <c r="Z68" i="67" s="1"/>
  <c r="BL68" i="67" s="1"/>
  <c r="Z69" i="67" a="1"/>
  <c r="Z69" i="67" s="1"/>
  <c r="BL69" i="67" s="1"/>
  <c r="Z70" i="67" a="1"/>
  <c r="Z70" i="67" s="1"/>
  <c r="BL70" i="67" s="1"/>
  <c r="Z71" i="67" a="1"/>
  <c r="Z71" i="67" s="1"/>
  <c r="BL71" i="67" s="1"/>
  <c r="Z72" i="67" a="1"/>
  <c r="Z72" i="67" s="1"/>
  <c r="BL72" i="67" s="1"/>
  <c r="Z73" i="67" a="1"/>
  <c r="Z73" i="67" s="1"/>
  <c r="BL73" i="67" s="1"/>
  <c r="Z74" i="67" a="1"/>
  <c r="Z74" i="67" s="1"/>
  <c r="BL74" i="67" s="1"/>
  <c r="Z75" i="67" a="1"/>
  <c r="Z75" i="67" s="1"/>
  <c r="BL75" i="67" s="1"/>
  <c r="Z76" i="67" a="1"/>
  <c r="Z76" i="67" s="1"/>
  <c r="BL76" i="67" s="1"/>
  <c r="Z77" i="67" a="1"/>
  <c r="Z77" i="67" s="1"/>
  <c r="BL77" i="67" s="1"/>
  <c r="Z78" i="67" a="1"/>
  <c r="Z78" i="67" s="1"/>
  <c r="BL78" i="67" s="1"/>
  <c r="Z79" i="67" a="1"/>
  <c r="Z79" i="67" s="1"/>
  <c r="BL79" i="67" s="1"/>
  <c r="Z80" i="67" a="1"/>
  <c r="Z80" i="67" s="1"/>
  <c r="BL80" i="67" s="1"/>
  <c r="Z81" i="67" a="1"/>
  <c r="Z81" i="67" s="1"/>
  <c r="BL81" i="67" s="1"/>
  <c r="Z82" i="67" a="1"/>
  <c r="Z82" i="67" s="1"/>
  <c r="BL82" i="67" s="1"/>
  <c r="Z83" i="67" a="1"/>
  <c r="Z83" i="67" s="1"/>
  <c r="BL83" i="67" s="1"/>
  <c r="Z84" i="67" a="1"/>
  <c r="Z84" i="67" s="1"/>
  <c r="BL84" i="67" s="1"/>
  <c r="Z85" i="67" a="1"/>
  <c r="Z85" i="67" s="1"/>
  <c r="BL85" i="67" s="1"/>
  <c r="Z86" i="67" a="1"/>
  <c r="Z86" i="67" s="1"/>
  <c r="BL86" i="67" s="1"/>
  <c r="Z87" i="67" a="1"/>
  <c r="Z87" i="67" s="1"/>
  <c r="BL87" i="67" s="1"/>
  <c r="Z88" i="67" a="1"/>
  <c r="Z88" i="67" s="1"/>
  <c r="BL88" i="67" s="1"/>
  <c r="Z89" i="67" a="1"/>
  <c r="Z89" i="67" s="1"/>
  <c r="BL89" i="67" s="1"/>
  <c r="Z90" i="67" a="1"/>
  <c r="Z90" i="67" s="1"/>
  <c r="BL90" i="67" s="1"/>
  <c r="Z91" i="67" a="1"/>
  <c r="Z91" i="67" s="1"/>
  <c r="BL91" i="67" s="1"/>
  <c r="Z92" i="67" a="1"/>
  <c r="Z92" i="67" s="1"/>
  <c r="BL92" i="67" s="1"/>
  <c r="Z93" i="67" a="1"/>
  <c r="Z93" i="67" s="1"/>
  <c r="BL93" i="67" s="1"/>
  <c r="Z94" i="67" a="1"/>
  <c r="Z94" i="67" s="1"/>
  <c r="BL94" i="67" s="1"/>
  <c r="Z95" i="67" a="1"/>
  <c r="Z95" i="67" s="1"/>
  <c r="BL95" i="67" s="1"/>
  <c r="Z96" i="67" a="1"/>
  <c r="Z96" i="67" s="1"/>
  <c r="BL96" i="67" s="1"/>
  <c r="Z97" i="67" a="1"/>
  <c r="Z97" i="67" s="1"/>
  <c r="BL97" i="67" s="1"/>
  <c r="Z98" i="67" a="1"/>
  <c r="Z98" i="67" s="1"/>
  <c r="BL98" i="67" s="1"/>
  <c r="Z99" i="67" a="1"/>
  <c r="Z99" i="67" s="1"/>
  <c r="BL99" i="67" s="1"/>
  <c r="Z100" i="67" a="1"/>
  <c r="Z100" i="67" s="1"/>
  <c r="BL100" i="67" s="1"/>
  <c r="Z101" i="67" a="1"/>
  <c r="Z101" i="67" s="1"/>
  <c r="BL101" i="67" s="1"/>
  <c r="Z102" i="67" a="1"/>
  <c r="Z102" i="67" s="1"/>
  <c r="BL102" i="67" s="1"/>
  <c r="Z103" i="67" a="1"/>
  <c r="Z103" i="67" s="1"/>
  <c r="BL103" i="67" s="1"/>
  <c r="Z104" i="67" a="1"/>
  <c r="Z104" i="67" s="1"/>
  <c r="BL104" i="67" s="1"/>
  <c r="N14" i="67"/>
  <c r="X32" i="67"/>
  <c r="X9" i="67"/>
  <c r="X104" i="67"/>
  <c r="S104" i="67"/>
  <c r="N104" i="67"/>
  <c r="X103" i="67"/>
  <c r="S103" i="67"/>
  <c r="N103" i="67"/>
  <c r="X102" i="67"/>
  <c r="S102" i="67"/>
  <c r="N102" i="67"/>
  <c r="X101" i="67"/>
  <c r="S101" i="67"/>
  <c r="N101" i="67"/>
  <c r="X100" i="67"/>
  <c r="S100" i="67"/>
  <c r="N100" i="67"/>
  <c r="X99" i="67"/>
  <c r="S99" i="67"/>
  <c r="N99" i="67"/>
  <c r="X98" i="67"/>
  <c r="S98" i="67"/>
  <c r="N98" i="67"/>
  <c r="X97" i="67"/>
  <c r="S97" i="67"/>
  <c r="N97" i="67"/>
  <c r="X96" i="67"/>
  <c r="S96" i="67"/>
  <c r="N96" i="67"/>
  <c r="X95" i="67"/>
  <c r="S95" i="67"/>
  <c r="N95" i="67"/>
  <c r="X94" i="67"/>
  <c r="S94" i="67"/>
  <c r="N94" i="67"/>
  <c r="X93" i="67"/>
  <c r="S93" i="67"/>
  <c r="N93" i="67"/>
  <c r="X92" i="67"/>
  <c r="S92" i="67"/>
  <c r="N92" i="67"/>
  <c r="X91" i="67"/>
  <c r="S91" i="67"/>
  <c r="N91" i="67"/>
  <c r="X90" i="67"/>
  <c r="S90" i="67"/>
  <c r="N90" i="67"/>
  <c r="X89" i="67"/>
  <c r="S89" i="67"/>
  <c r="N89" i="67"/>
  <c r="X88" i="67"/>
  <c r="S88" i="67"/>
  <c r="N88" i="67"/>
  <c r="X87" i="67"/>
  <c r="S87" i="67"/>
  <c r="N87" i="67"/>
  <c r="X86" i="67"/>
  <c r="S86" i="67"/>
  <c r="N86" i="67"/>
  <c r="X85" i="67"/>
  <c r="S85" i="67"/>
  <c r="N85" i="67"/>
  <c r="X84" i="67"/>
  <c r="S84" i="67"/>
  <c r="N84" i="67"/>
  <c r="X83" i="67"/>
  <c r="S83" i="67"/>
  <c r="N83" i="67"/>
  <c r="X82" i="67"/>
  <c r="S82" i="67"/>
  <c r="N82" i="67"/>
  <c r="X81" i="67"/>
  <c r="S81" i="67"/>
  <c r="N81" i="67"/>
  <c r="X80" i="67"/>
  <c r="S80" i="67"/>
  <c r="N80" i="67"/>
  <c r="X79" i="67"/>
  <c r="S79" i="67"/>
  <c r="N79" i="67"/>
  <c r="X78" i="67"/>
  <c r="S78" i="67"/>
  <c r="N78" i="67"/>
  <c r="X77" i="67"/>
  <c r="S77" i="67"/>
  <c r="N77" i="67"/>
  <c r="X76" i="67"/>
  <c r="S76" i="67"/>
  <c r="N76" i="67"/>
  <c r="X75" i="67"/>
  <c r="S75" i="67"/>
  <c r="N75" i="67"/>
  <c r="X74" i="67"/>
  <c r="S74" i="67"/>
  <c r="N74" i="67"/>
  <c r="X73" i="67"/>
  <c r="S73" i="67"/>
  <c r="N73" i="67"/>
  <c r="X72" i="67"/>
  <c r="S72" i="67"/>
  <c r="N72" i="67"/>
  <c r="X71" i="67"/>
  <c r="S71" i="67"/>
  <c r="N71" i="67"/>
  <c r="X70" i="67"/>
  <c r="S70" i="67"/>
  <c r="N70" i="67"/>
  <c r="X69" i="67"/>
  <c r="S69" i="67"/>
  <c r="N69" i="67"/>
  <c r="X68" i="67"/>
  <c r="S68" i="67"/>
  <c r="N68" i="67"/>
  <c r="X67" i="67"/>
  <c r="S67" i="67"/>
  <c r="N67" i="67"/>
  <c r="X66" i="67"/>
  <c r="S66" i="67"/>
  <c r="N66" i="67"/>
  <c r="X65" i="67"/>
  <c r="S65" i="67"/>
  <c r="N65" i="67"/>
  <c r="X64" i="67"/>
  <c r="S64" i="67"/>
  <c r="N64" i="67"/>
  <c r="X63" i="67"/>
  <c r="S63" i="67"/>
  <c r="N63" i="67"/>
  <c r="X62" i="67"/>
  <c r="S62" i="67"/>
  <c r="N62" i="67"/>
  <c r="X61" i="67"/>
  <c r="S61" i="67"/>
  <c r="N61" i="67"/>
  <c r="X60" i="67"/>
  <c r="S60" i="67"/>
  <c r="N60" i="67"/>
  <c r="X59" i="67"/>
  <c r="S59" i="67"/>
  <c r="N59" i="67"/>
  <c r="X58" i="67"/>
  <c r="S58" i="67"/>
  <c r="N58" i="67"/>
  <c r="X57" i="67"/>
  <c r="S57" i="67"/>
  <c r="N57" i="67"/>
  <c r="X56" i="67"/>
  <c r="S56" i="67"/>
  <c r="N56" i="67"/>
  <c r="X55" i="67"/>
  <c r="S55" i="67"/>
  <c r="N55" i="67"/>
  <c r="X54" i="67"/>
  <c r="S54" i="67"/>
  <c r="N54" i="67"/>
  <c r="X53" i="67"/>
  <c r="S53" i="67"/>
  <c r="N53" i="67"/>
  <c r="X52" i="67"/>
  <c r="S52" i="67"/>
  <c r="N52" i="67"/>
  <c r="X51" i="67"/>
  <c r="S51" i="67"/>
  <c r="N51" i="67"/>
  <c r="X50" i="67"/>
  <c r="S50" i="67"/>
  <c r="N50" i="67"/>
  <c r="X49" i="67"/>
  <c r="S49" i="67"/>
  <c r="N49" i="67"/>
  <c r="X48" i="67"/>
  <c r="S48" i="67"/>
  <c r="N48" i="67"/>
  <c r="X47" i="67"/>
  <c r="S47" i="67"/>
  <c r="N47" i="67"/>
  <c r="X46" i="67"/>
  <c r="S46" i="67"/>
  <c r="N46" i="67"/>
  <c r="X45" i="67"/>
  <c r="S45" i="67"/>
  <c r="N45" i="67"/>
  <c r="X44" i="67"/>
  <c r="S44" i="67"/>
  <c r="N44" i="67"/>
  <c r="X43" i="67"/>
  <c r="S43" i="67"/>
  <c r="N43" i="67"/>
  <c r="X42" i="67"/>
  <c r="S42" i="67"/>
  <c r="N42" i="67"/>
  <c r="X41" i="67"/>
  <c r="S41" i="67"/>
  <c r="N41" i="67"/>
  <c r="X40" i="67"/>
  <c r="S40" i="67"/>
  <c r="N40" i="67"/>
  <c r="X39" i="67"/>
  <c r="S39" i="67"/>
  <c r="N39" i="67"/>
  <c r="X38" i="67"/>
  <c r="S38" i="67"/>
  <c r="N38" i="67"/>
  <c r="X37" i="67"/>
  <c r="S37" i="67"/>
  <c r="N37" i="67"/>
  <c r="X36" i="67"/>
  <c r="S36" i="67"/>
  <c r="N36" i="67"/>
  <c r="X35" i="67"/>
  <c r="S35" i="67"/>
  <c r="N35" i="67"/>
  <c r="X34" i="67"/>
  <c r="S34" i="67"/>
  <c r="N34" i="67"/>
  <c r="X33" i="67"/>
  <c r="S33" i="67"/>
  <c r="N33" i="67"/>
  <c r="S32" i="67"/>
  <c r="N32" i="67"/>
  <c r="X31" i="67"/>
  <c r="S31" i="67"/>
  <c r="N31" i="67"/>
  <c r="X30" i="67"/>
  <c r="S30" i="67"/>
  <c r="N30" i="67"/>
  <c r="X29" i="67"/>
  <c r="S29" i="67"/>
  <c r="N29" i="67"/>
  <c r="X28" i="67"/>
  <c r="S28" i="67"/>
  <c r="N28" i="67"/>
  <c r="X27" i="67"/>
  <c r="S27" i="67"/>
  <c r="N27" i="67"/>
  <c r="X26" i="67"/>
  <c r="S26" i="67"/>
  <c r="N26" i="67"/>
  <c r="X25" i="67"/>
  <c r="S25" i="67"/>
  <c r="N25" i="67"/>
  <c r="X24" i="67"/>
  <c r="S24" i="67"/>
  <c r="N24" i="67"/>
  <c r="X23" i="67"/>
  <c r="S23" i="67"/>
  <c r="N23" i="67"/>
  <c r="X22" i="67"/>
  <c r="S22" i="67"/>
  <c r="N22" i="67"/>
  <c r="X21" i="67"/>
  <c r="S21" i="67"/>
  <c r="N21" i="67"/>
  <c r="X20" i="67"/>
  <c r="S20" i="67"/>
  <c r="N20" i="67"/>
  <c r="X19" i="67"/>
  <c r="S19" i="67"/>
  <c r="N19" i="67"/>
  <c r="X18" i="67"/>
  <c r="S18" i="67"/>
  <c r="N18" i="67"/>
  <c r="X17" i="67"/>
  <c r="S17" i="67"/>
  <c r="N17" i="67"/>
  <c r="X16" i="67"/>
  <c r="S16" i="67"/>
  <c r="N16" i="67"/>
  <c r="X15" i="67"/>
  <c r="S15" i="67"/>
  <c r="N15" i="67"/>
  <c r="X14" i="67"/>
  <c r="S14" i="67"/>
  <c r="X13" i="67"/>
  <c r="S13" i="67"/>
  <c r="N13" i="67"/>
  <c r="X12" i="67"/>
  <c r="S12" i="67"/>
  <c r="N12" i="67"/>
  <c r="X11" i="67"/>
  <c r="S11" i="67"/>
  <c r="N11" i="67"/>
  <c r="X10" i="67"/>
  <c r="S10" i="67"/>
  <c r="N10" i="67"/>
  <c r="S9" i="67"/>
  <c r="N9" i="67"/>
  <c r="X8" i="67"/>
  <c r="S8" i="67"/>
  <c r="N8" i="67"/>
  <c r="X7" i="67"/>
  <c r="S7" i="67"/>
  <c r="N7" i="67"/>
  <c r="X6" i="67"/>
  <c r="S6" i="67"/>
  <c r="N6" i="67"/>
  <c r="Z14" i="55"/>
  <c r="Z15" i="55"/>
  <c r="Z16" i="55"/>
  <c r="Z17" i="55"/>
  <c r="Z18" i="55"/>
  <c r="Z19" i="55"/>
  <c r="Z20" i="55"/>
  <c r="Z21" i="55"/>
  <c r="Z22" i="55"/>
  <c r="Z23" i="55"/>
  <c r="Z24" i="55"/>
  <c r="Z25" i="55"/>
  <c r="Z26" i="55"/>
  <c r="Z27" i="55"/>
  <c r="Z28" i="55"/>
  <c r="Z29" i="55"/>
  <c r="Z30" i="55"/>
  <c r="Z31" i="55"/>
  <c r="Z32" i="55"/>
  <c r="Z33" i="55"/>
  <c r="Z34" i="55"/>
  <c r="Z35" i="55"/>
  <c r="Z36" i="55"/>
  <c r="Z37" i="55"/>
  <c r="Z38" i="55"/>
  <c r="Z39" i="55"/>
  <c r="Z40" i="55"/>
  <c r="Z41" i="55"/>
  <c r="Z42" i="55"/>
  <c r="Z43" i="55"/>
  <c r="Z44" i="55"/>
  <c r="Z45" i="55"/>
  <c r="Z46" i="55"/>
  <c r="Z47" i="55"/>
  <c r="Z48" i="55"/>
  <c r="Z49" i="55"/>
  <c r="Z50" i="55"/>
  <c r="Z51" i="55"/>
  <c r="Z52" i="55"/>
  <c r="Z53" i="55"/>
  <c r="Z54" i="55"/>
  <c r="Z55" i="55"/>
  <c r="Z56" i="55"/>
  <c r="Z57" i="55"/>
  <c r="Z58" i="55"/>
  <c r="Z59" i="55"/>
  <c r="Z60" i="55"/>
  <c r="Z61" i="55"/>
  <c r="Z62" i="55"/>
  <c r="Z63" i="55"/>
  <c r="Z64" i="55"/>
  <c r="Z65" i="55"/>
  <c r="Z66" i="55"/>
  <c r="Z67" i="55"/>
  <c r="Z68" i="55"/>
  <c r="Z69" i="55"/>
  <c r="Z70" i="55"/>
  <c r="Z71" i="55"/>
  <c r="Z72" i="55"/>
  <c r="Z73" i="55"/>
  <c r="Z74" i="55"/>
  <c r="Z75" i="55"/>
  <c r="Z76" i="55"/>
  <c r="Z77" i="55"/>
  <c r="Z78" i="55"/>
  <c r="Z79" i="55"/>
  <c r="Z80" i="55"/>
  <c r="Z81" i="55"/>
  <c r="Z82" i="55"/>
  <c r="Z83" i="55"/>
  <c r="Z84" i="55"/>
  <c r="Z85" i="55"/>
  <c r="Z86" i="55"/>
  <c r="Z87" i="55"/>
  <c r="Z88" i="55"/>
  <c r="Z89" i="55"/>
  <c r="Z90" i="55"/>
  <c r="Z91" i="55"/>
  <c r="Z92" i="55"/>
  <c r="Z93" i="55"/>
  <c r="Z94" i="55"/>
  <c r="Z95" i="55"/>
  <c r="Z96" i="55"/>
  <c r="Z97" i="55"/>
  <c r="Z98" i="55"/>
  <c r="Z99" i="55"/>
  <c r="Z100" i="55"/>
  <c r="Z101" i="55"/>
  <c r="Z102" i="55"/>
  <c r="Z103" i="55"/>
  <c r="Z104" i="55"/>
  <c r="Z105" i="55"/>
  <c r="Z106" i="55"/>
  <c r="Z107" i="55"/>
  <c r="Z108" i="55"/>
  <c r="U13" i="55"/>
  <c r="U14" i="55"/>
  <c r="U15" i="55"/>
  <c r="U16" i="55"/>
  <c r="U17" i="55"/>
  <c r="U18" i="55"/>
  <c r="U19" i="55"/>
  <c r="U20" i="55"/>
  <c r="U21" i="55"/>
  <c r="U22" i="55"/>
  <c r="U23" i="55"/>
  <c r="U24" i="55"/>
  <c r="U25" i="55"/>
  <c r="U26" i="55"/>
  <c r="U27" i="55"/>
  <c r="U28" i="55"/>
  <c r="U29" i="55"/>
  <c r="U30" i="55"/>
  <c r="U31" i="55"/>
  <c r="U32" i="55"/>
  <c r="U33" i="55"/>
  <c r="U34" i="55"/>
  <c r="U35" i="55"/>
  <c r="U36" i="55"/>
  <c r="U37" i="55"/>
  <c r="U38" i="55"/>
  <c r="U39" i="55"/>
  <c r="U40" i="55"/>
  <c r="U41" i="55"/>
  <c r="U42" i="55"/>
  <c r="U43" i="55"/>
  <c r="U44" i="55"/>
  <c r="U45" i="55"/>
  <c r="U46" i="55"/>
  <c r="U47" i="55"/>
  <c r="U48" i="55"/>
  <c r="U49" i="55"/>
  <c r="U50" i="55"/>
  <c r="U51" i="55"/>
  <c r="U52" i="55"/>
  <c r="U53" i="55"/>
  <c r="U54" i="55"/>
  <c r="U55" i="55"/>
  <c r="U56" i="55"/>
  <c r="U57" i="55"/>
  <c r="U58" i="55"/>
  <c r="U59" i="55"/>
  <c r="U60" i="55"/>
  <c r="U61" i="55"/>
  <c r="U62" i="55"/>
  <c r="U63" i="55"/>
  <c r="U64" i="55"/>
  <c r="U65" i="55"/>
  <c r="U66" i="55"/>
  <c r="U67" i="55"/>
  <c r="U68" i="55"/>
  <c r="U69" i="55"/>
  <c r="U70" i="55"/>
  <c r="U71" i="55"/>
  <c r="U72" i="55"/>
  <c r="U73" i="55"/>
  <c r="U74" i="55"/>
  <c r="U75" i="55"/>
  <c r="U76" i="55"/>
  <c r="U77" i="55"/>
  <c r="U78" i="55"/>
  <c r="U79" i="55"/>
  <c r="U80" i="55"/>
  <c r="U81" i="55"/>
  <c r="U82" i="55"/>
  <c r="U83" i="55"/>
  <c r="U84" i="55"/>
  <c r="U85" i="55"/>
  <c r="U86" i="55"/>
  <c r="U87" i="55"/>
  <c r="U88" i="55"/>
  <c r="U89" i="55"/>
  <c r="U90" i="55"/>
  <c r="U91" i="55"/>
  <c r="U92" i="55"/>
  <c r="U93" i="55"/>
  <c r="U94" i="55"/>
  <c r="U95" i="55"/>
  <c r="U96" i="55"/>
  <c r="U97" i="55"/>
  <c r="U98" i="55"/>
  <c r="U99" i="55"/>
  <c r="U100" i="55"/>
  <c r="U101" i="55"/>
  <c r="U102" i="55"/>
  <c r="U103" i="55"/>
  <c r="U104" i="55"/>
  <c r="U105" i="55"/>
  <c r="U106" i="55"/>
  <c r="U107" i="55"/>
  <c r="U108" i="55"/>
  <c r="P12" i="55"/>
  <c r="P13" i="55"/>
  <c r="P14" i="55"/>
  <c r="P15" i="55"/>
  <c r="P16" i="55"/>
  <c r="P17" i="55"/>
  <c r="P18" i="55"/>
  <c r="P19" i="55"/>
  <c r="P20" i="55"/>
  <c r="P21" i="55"/>
  <c r="P22" i="55"/>
  <c r="P23" i="55"/>
  <c r="P24" i="55"/>
  <c r="P25" i="55"/>
  <c r="P26" i="55"/>
  <c r="P27" i="55"/>
  <c r="P28" i="55"/>
  <c r="P29" i="55"/>
  <c r="P30" i="55"/>
  <c r="P31" i="55"/>
  <c r="P32" i="55"/>
  <c r="P33" i="55"/>
  <c r="P34" i="55"/>
  <c r="P35" i="55"/>
  <c r="P36" i="55"/>
  <c r="P37" i="55"/>
  <c r="P38" i="55"/>
  <c r="P39" i="55"/>
  <c r="P40" i="55"/>
  <c r="P41" i="55"/>
  <c r="P42" i="55"/>
  <c r="P43" i="55"/>
  <c r="P44" i="55"/>
  <c r="P45" i="55"/>
  <c r="P46" i="55"/>
  <c r="P47" i="55"/>
  <c r="P48" i="55"/>
  <c r="P49" i="55"/>
  <c r="P50" i="55"/>
  <c r="P51" i="55"/>
  <c r="P52" i="55"/>
  <c r="P53" i="55"/>
  <c r="P54" i="55"/>
  <c r="P55" i="55"/>
  <c r="P56" i="55"/>
  <c r="P57" i="55"/>
  <c r="P58" i="55"/>
  <c r="P59" i="55"/>
  <c r="P60" i="55"/>
  <c r="P61" i="55"/>
  <c r="P62" i="55"/>
  <c r="P63" i="55"/>
  <c r="P64" i="55"/>
  <c r="P65" i="55"/>
  <c r="P66" i="55"/>
  <c r="P67" i="55"/>
  <c r="P68" i="55"/>
  <c r="P69" i="55"/>
  <c r="P70" i="55"/>
  <c r="P71" i="55"/>
  <c r="P72" i="55"/>
  <c r="P73" i="55"/>
  <c r="P74" i="55"/>
  <c r="P75" i="55"/>
  <c r="P76" i="55"/>
  <c r="P77" i="55"/>
  <c r="P78" i="55"/>
  <c r="P79" i="55"/>
  <c r="P80" i="55"/>
  <c r="P81" i="55"/>
  <c r="P82" i="55"/>
  <c r="P83" i="55"/>
  <c r="P84" i="55"/>
  <c r="P85" i="55"/>
  <c r="P86" i="55"/>
  <c r="P87" i="55"/>
  <c r="P88" i="55"/>
  <c r="P89" i="55"/>
  <c r="P90" i="55"/>
  <c r="P91" i="55"/>
  <c r="P92" i="55"/>
  <c r="P93" i="55"/>
  <c r="P94" i="55"/>
  <c r="P95" i="55"/>
  <c r="P96" i="55"/>
  <c r="P97" i="55"/>
  <c r="P98" i="55"/>
  <c r="P99" i="55"/>
  <c r="P100" i="55"/>
  <c r="P101" i="55"/>
  <c r="P102" i="55"/>
  <c r="P103" i="55"/>
  <c r="P104" i="55"/>
  <c r="P105" i="55"/>
  <c r="P106" i="55"/>
  <c r="P107" i="55"/>
  <c r="P108" i="55"/>
  <c r="U98" i="69" l="1" a="1"/>
  <c r="U98" i="69" s="1"/>
  <c r="V98" i="69"/>
  <c r="U97" i="69" a="1"/>
  <c r="U97" i="69" s="1"/>
  <c r="V97" i="69"/>
  <c r="V96" i="69"/>
  <c r="U96" i="69" a="1"/>
  <c r="U96" i="69" s="1"/>
  <c r="V80" i="69"/>
  <c r="U80" i="69" a="1"/>
  <c r="U80" i="69" s="1"/>
  <c r="V64" i="69"/>
  <c r="U64" i="69" a="1"/>
  <c r="U64" i="69" s="1"/>
  <c r="U48" i="69" a="1"/>
  <c r="U48" i="69" s="1"/>
  <c r="V48" i="69"/>
  <c r="U32" i="69" a="1"/>
  <c r="U32" i="69" s="1"/>
  <c r="V32" i="69"/>
  <c r="U16" i="69" a="1"/>
  <c r="U16" i="69" s="1"/>
  <c r="V16" i="69"/>
  <c r="V95" i="69"/>
  <c r="U95" i="69" a="1"/>
  <c r="U95" i="69" s="1"/>
  <c r="V79" i="69"/>
  <c r="U79" i="69" a="1"/>
  <c r="U79" i="69" s="1"/>
  <c r="V63" i="69"/>
  <c r="U63" i="69" a="1"/>
  <c r="U63" i="69" s="1"/>
  <c r="V47" i="69"/>
  <c r="U47" i="69" a="1"/>
  <c r="U47" i="69" s="1"/>
  <c r="V31" i="69"/>
  <c r="U31" i="69" a="1"/>
  <c r="U31" i="69" s="1"/>
  <c r="V15" i="69"/>
  <c r="U15" i="69" a="1"/>
  <c r="U15" i="69" s="1"/>
  <c r="U51" i="69" a="1"/>
  <c r="U51" i="69" s="1"/>
  <c r="V51" i="69"/>
  <c r="V34" i="69"/>
  <c r="U34" i="69" a="1"/>
  <c r="U34" i="69" s="1"/>
  <c r="V65" i="69"/>
  <c r="U65" i="69" a="1"/>
  <c r="U65" i="69" s="1"/>
  <c r="V46" i="69"/>
  <c r="U46" i="69" a="1"/>
  <c r="U46" i="69" s="1"/>
  <c r="V93" i="69"/>
  <c r="U93" i="69" a="1"/>
  <c r="U93" i="69" s="1"/>
  <c r="V77" i="69"/>
  <c r="U77" i="69" a="1"/>
  <c r="U77" i="69" s="1"/>
  <c r="V61" i="69"/>
  <c r="U61" i="69" a="1"/>
  <c r="U61" i="69" s="1"/>
  <c r="V45" i="69"/>
  <c r="U45" i="69" a="1"/>
  <c r="U45" i="69" s="1"/>
  <c r="V29" i="69"/>
  <c r="U29" i="69" a="1"/>
  <c r="U29" i="69" s="1"/>
  <c r="V13" i="69"/>
  <c r="U13" i="69" a="1"/>
  <c r="U13" i="69" s="1"/>
  <c r="U17" i="69" a="1"/>
  <c r="U17" i="69" s="1"/>
  <c r="V17" i="69"/>
  <c r="U92" i="69" a="1"/>
  <c r="U92" i="69" s="1"/>
  <c r="V92" i="69"/>
  <c r="V76" i="69"/>
  <c r="U76" i="69" a="1"/>
  <c r="U76" i="69" s="1"/>
  <c r="U60" i="69" a="1"/>
  <c r="U60" i="69" s="1"/>
  <c r="V60" i="69"/>
  <c r="U44" i="69" a="1"/>
  <c r="U44" i="69" s="1"/>
  <c r="V44" i="69"/>
  <c r="V28" i="69"/>
  <c r="U28" i="69" a="1"/>
  <c r="U28" i="69" s="1"/>
  <c r="V12" i="69"/>
  <c r="U12" i="69" a="1"/>
  <c r="U12" i="69" s="1"/>
  <c r="V83" i="69"/>
  <c r="U83" i="69" a="1"/>
  <c r="U83" i="69" s="1"/>
  <c r="U82" i="69" a="1"/>
  <c r="U82" i="69" s="1"/>
  <c r="V82" i="69"/>
  <c r="U94" i="69" a="1"/>
  <c r="U94" i="69" s="1"/>
  <c r="V94" i="69"/>
  <c r="V91" i="69"/>
  <c r="U91" i="69" a="1"/>
  <c r="U91" i="69" s="1"/>
  <c r="V75" i="69"/>
  <c r="U75" i="69" a="1"/>
  <c r="U75" i="69" s="1"/>
  <c r="V59" i="69"/>
  <c r="U59" i="69" a="1"/>
  <c r="U59" i="69" s="1"/>
  <c r="V43" i="69"/>
  <c r="U43" i="69" a="1"/>
  <c r="U43" i="69" s="1"/>
  <c r="V27" i="69"/>
  <c r="U27" i="69" a="1"/>
  <c r="U27" i="69" s="1"/>
  <c r="V11" i="69"/>
  <c r="U11" i="69" a="1"/>
  <c r="U11" i="69" s="1"/>
  <c r="U99" i="69" a="1"/>
  <c r="U99" i="69" s="1"/>
  <c r="V99" i="69"/>
  <c r="V78" i="69"/>
  <c r="U78" i="69" a="1"/>
  <c r="U78" i="69" s="1"/>
  <c r="V90" i="69"/>
  <c r="U90" i="69" a="1"/>
  <c r="U90" i="69" s="1"/>
  <c r="V74" i="69"/>
  <c r="U74" i="69" a="1"/>
  <c r="U74" i="69" s="1"/>
  <c r="V58" i="69"/>
  <c r="U58" i="69" a="1"/>
  <c r="U58" i="69" s="1"/>
  <c r="U42" i="69" a="1"/>
  <c r="U42" i="69" s="1"/>
  <c r="V42" i="69"/>
  <c r="U26" i="69" a="1"/>
  <c r="U26" i="69" s="1"/>
  <c r="V26" i="69"/>
  <c r="V19" i="69"/>
  <c r="U19" i="69" a="1"/>
  <c r="U19" i="69" s="1"/>
  <c r="V50" i="69"/>
  <c r="U50" i="69" a="1"/>
  <c r="U50" i="69" s="1"/>
  <c r="V81" i="69"/>
  <c r="U81" i="69" a="1"/>
  <c r="U81" i="69" s="1"/>
  <c r="V89" i="69"/>
  <c r="U89" i="69" a="1"/>
  <c r="U89" i="69" s="1"/>
  <c r="V73" i="69"/>
  <c r="U73" i="69" a="1"/>
  <c r="U73" i="69" s="1"/>
  <c r="V57" i="69"/>
  <c r="U57" i="69" a="1"/>
  <c r="U57" i="69" s="1"/>
  <c r="V41" i="69"/>
  <c r="U41" i="69" a="1"/>
  <c r="U41" i="69" s="1"/>
  <c r="V25" i="69"/>
  <c r="U25" i="69" a="1"/>
  <c r="U25" i="69" s="1"/>
  <c r="V35" i="69"/>
  <c r="U35" i="69" a="1"/>
  <c r="U35" i="69" s="1"/>
  <c r="V18" i="69"/>
  <c r="U18" i="69" a="1"/>
  <c r="U18" i="69" s="1"/>
  <c r="V49" i="69"/>
  <c r="U49" i="69" a="1"/>
  <c r="U49" i="69" s="1"/>
  <c r="V30" i="69"/>
  <c r="U30" i="69" a="1"/>
  <c r="U30" i="69" s="1"/>
  <c r="V104" i="69"/>
  <c r="U104" i="69" a="1"/>
  <c r="U104" i="69" s="1"/>
  <c r="V88" i="69"/>
  <c r="U88" i="69" a="1"/>
  <c r="U88" i="69" s="1"/>
  <c r="V72" i="69"/>
  <c r="U72" i="69" a="1"/>
  <c r="U72" i="69" s="1"/>
  <c r="V56" i="69"/>
  <c r="U56" i="69" a="1"/>
  <c r="U56" i="69" s="1"/>
  <c r="V40" i="69"/>
  <c r="U40" i="69" a="1"/>
  <c r="U40" i="69" s="1"/>
  <c r="V24" i="69"/>
  <c r="U24" i="69" a="1"/>
  <c r="U24" i="69" s="1"/>
  <c r="V62" i="69"/>
  <c r="U62" i="69" a="1"/>
  <c r="U62" i="69" s="1"/>
  <c r="V103" i="69"/>
  <c r="U103" i="69" a="1"/>
  <c r="U103" i="69" s="1"/>
  <c r="V87" i="69"/>
  <c r="U87" i="69" a="1"/>
  <c r="U87" i="69" s="1"/>
  <c r="V71" i="69"/>
  <c r="U71" i="69" a="1"/>
  <c r="U71" i="69" s="1"/>
  <c r="U55" i="69" a="1"/>
  <c r="U55" i="69" s="1"/>
  <c r="V55" i="69"/>
  <c r="V39" i="69"/>
  <c r="U39" i="69" a="1"/>
  <c r="U39" i="69" s="1"/>
  <c r="U23" i="69" a="1"/>
  <c r="U23" i="69" s="1"/>
  <c r="V23" i="69"/>
  <c r="V67" i="69"/>
  <c r="U67" i="69" a="1"/>
  <c r="U67" i="69" s="1"/>
  <c r="V66" i="69"/>
  <c r="U66" i="69" a="1"/>
  <c r="U66" i="69" s="1"/>
  <c r="U102" i="69" a="1"/>
  <c r="U102" i="69" s="1"/>
  <c r="V102" i="69"/>
  <c r="U86" i="69" a="1"/>
  <c r="U86" i="69" s="1"/>
  <c r="V86" i="69"/>
  <c r="V70" i="69"/>
  <c r="U70" i="69" a="1"/>
  <c r="U70" i="69" s="1"/>
  <c r="V54" i="69"/>
  <c r="U54" i="69" a="1"/>
  <c r="U54" i="69" s="1"/>
  <c r="V38" i="69"/>
  <c r="U38" i="69" a="1"/>
  <c r="U38" i="69" s="1"/>
  <c r="V22" i="69"/>
  <c r="U22" i="69" a="1"/>
  <c r="U22" i="69" s="1"/>
  <c r="V14" i="69"/>
  <c r="U14" i="69" a="1"/>
  <c r="U14" i="69" s="1"/>
  <c r="U101" i="69" a="1"/>
  <c r="U101" i="69" s="1"/>
  <c r="V101" i="69"/>
  <c r="V85" i="69"/>
  <c r="U85" i="69" a="1"/>
  <c r="U85" i="69" s="1"/>
  <c r="V69" i="69"/>
  <c r="U69" i="69" a="1"/>
  <c r="U69" i="69" s="1"/>
  <c r="U53" i="69" a="1"/>
  <c r="U53" i="69" s="1"/>
  <c r="V53" i="69"/>
  <c r="V37" i="69"/>
  <c r="U37" i="69" a="1"/>
  <c r="U37" i="69" s="1"/>
  <c r="V21" i="69"/>
  <c r="U21" i="69" a="1"/>
  <c r="U21" i="69" s="1"/>
  <c r="U33" i="69" a="1"/>
  <c r="U33" i="69" s="1"/>
  <c r="V33" i="69"/>
  <c r="V100" i="69"/>
  <c r="U100" i="69" a="1"/>
  <c r="U100" i="69" s="1"/>
  <c r="V84" i="69"/>
  <c r="U84" i="69" a="1"/>
  <c r="U84" i="69" s="1"/>
  <c r="U68" i="69" a="1"/>
  <c r="U68" i="69" s="1"/>
  <c r="V68" i="69"/>
  <c r="U52" i="69" a="1"/>
  <c r="U52" i="69" s="1"/>
  <c r="V52" i="69"/>
  <c r="V36" i="69"/>
  <c r="U36" i="69" a="1"/>
  <c r="U36" i="69" s="1"/>
  <c r="V20" i="69"/>
  <c r="U20" i="69" a="1"/>
  <c r="U20" i="69" s="1"/>
  <c r="V10" i="69"/>
  <c r="U10" i="69" a="1"/>
  <c r="U10" i="69" s="1"/>
  <c r="V9" i="69"/>
  <c r="U9" i="69" a="1"/>
  <c r="U9" i="69" s="1"/>
  <c r="AD69" i="55"/>
  <c r="AD83" i="55"/>
  <c r="AD101" i="55"/>
  <c r="AD61" i="55"/>
  <c r="AD20" i="55"/>
  <c r="AD96" i="55"/>
  <c r="AA81" i="67" a="1"/>
  <c r="AA81" i="67" s="1"/>
  <c r="BM81" i="67" s="1"/>
  <c r="AA88" i="67" a="1"/>
  <c r="AA88" i="67" s="1"/>
  <c r="BM88" i="67" s="1"/>
  <c r="AA72" i="67" a="1"/>
  <c r="AA72" i="67" s="1"/>
  <c r="BM72" i="67" s="1"/>
  <c r="AA55" i="67" a="1"/>
  <c r="AA55" i="67" s="1"/>
  <c r="BM55" i="67" s="1"/>
  <c r="AA94" i="67" a="1"/>
  <c r="AA94" i="67" s="1"/>
  <c r="BM94" i="67" s="1"/>
  <c r="AA54" i="67" a="1"/>
  <c r="AA54" i="67" s="1"/>
  <c r="BM54" i="67" s="1"/>
  <c r="AA98" i="67" a="1"/>
  <c r="AA98" i="67" s="1"/>
  <c r="BM98" i="67" s="1"/>
  <c r="AA90" i="67" a="1"/>
  <c r="AA90" i="67" s="1"/>
  <c r="BM90" i="67" s="1"/>
  <c r="AA82" i="67" a="1"/>
  <c r="AA82" i="67" s="1"/>
  <c r="BM82" i="67" s="1"/>
  <c r="AA74" i="67" a="1"/>
  <c r="AA74" i="67" s="1"/>
  <c r="BM74" i="67" s="1"/>
  <c r="AA66" i="67" a="1"/>
  <c r="AA66" i="67" s="1"/>
  <c r="BM66" i="67" s="1"/>
  <c r="AA58" i="67" a="1"/>
  <c r="AA58" i="67" s="1"/>
  <c r="BM58" i="67" s="1"/>
  <c r="AA50" i="67" a="1"/>
  <c r="AA50" i="67" s="1"/>
  <c r="BM50" i="67" s="1"/>
  <c r="AA42" i="67" a="1"/>
  <c r="AA42" i="67" s="1"/>
  <c r="BM42" i="67" s="1"/>
  <c r="AA34" i="67" a="1"/>
  <c r="AA34" i="67" s="1"/>
  <c r="BM34" i="67" s="1"/>
  <c r="AA26" i="67" a="1"/>
  <c r="AA26" i="67" s="1"/>
  <c r="BM26" i="67" s="1"/>
  <c r="AA18" i="67" a="1"/>
  <c r="AA18" i="67" s="1"/>
  <c r="BM18" i="67" s="1"/>
  <c r="AA10" i="67" a="1"/>
  <c r="AA10" i="67" s="1"/>
  <c r="BM10" i="67" s="1"/>
  <c r="AA65" i="67" a="1"/>
  <c r="AA65" i="67" s="1"/>
  <c r="BM65" i="67" s="1"/>
  <c r="AA57" i="67" a="1"/>
  <c r="AA57" i="67" s="1"/>
  <c r="BM57" i="67" s="1"/>
  <c r="AA49" i="67" a="1"/>
  <c r="AA49" i="67" s="1"/>
  <c r="BM49" i="67" s="1"/>
  <c r="AA41" i="67" a="1"/>
  <c r="AA41" i="67" s="1"/>
  <c r="BM41" i="67" s="1"/>
  <c r="AA33" i="67" a="1"/>
  <c r="AA33" i="67" s="1"/>
  <c r="BM33" i="67" s="1"/>
  <c r="AA25" i="67" a="1"/>
  <c r="AA25" i="67" s="1"/>
  <c r="BM25" i="67" s="1"/>
  <c r="AA17" i="67" a="1"/>
  <c r="AA17" i="67" s="1"/>
  <c r="BM17" i="67" s="1"/>
  <c r="AA9" i="67" a="1"/>
  <c r="AA9" i="67" s="1"/>
  <c r="BM9" i="67" s="1"/>
  <c r="AA80" i="67" a="1"/>
  <c r="AA80" i="67" s="1"/>
  <c r="BM80" i="67" s="1"/>
  <c r="AA40" i="67" a="1"/>
  <c r="AA40" i="67" s="1"/>
  <c r="BM40" i="67" s="1"/>
  <c r="AA32" i="67" a="1"/>
  <c r="AA32" i="67" s="1"/>
  <c r="BM32" i="67" s="1"/>
  <c r="AA24" i="67" a="1"/>
  <c r="AA24" i="67" s="1"/>
  <c r="BM24" i="67" s="1"/>
  <c r="AA16" i="67" a="1"/>
  <c r="AA16" i="67" s="1"/>
  <c r="BM16" i="67" s="1"/>
  <c r="AA8" i="67" a="1"/>
  <c r="AA8" i="67" s="1"/>
  <c r="BM8" i="67" s="1"/>
  <c r="AA79" i="67" a="1"/>
  <c r="AA79" i="67" s="1"/>
  <c r="BM79" i="67" s="1"/>
  <c r="AA39" i="67" a="1"/>
  <c r="AA39" i="67" s="1"/>
  <c r="BM39" i="67" s="1"/>
  <c r="AA31" i="67" a="1"/>
  <c r="AA31" i="67" s="1"/>
  <c r="BM31" i="67" s="1"/>
  <c r="AA23" i="67" a="1"/>
  <c r="AA23" i="67" s="1"/>
  <c r="BM23" i="67" s="1"/>
  <c r="AA15" i="67" a="1"/>
  <c r="AA15" i="67" s="1"/>
  <c r="BM15" i="67" s="1"/>
  <c r="AA7" i="67" a="1"/>
  <c r="AA7" i="67" s="1"/>
  <c r="BM7" i="67" s="1"/>
  <c r="AA62" i="67" a="1"/>
  <c r="AA62" i="67" s="1"/>
  <c r="BM62" i="67" s="1"/>
  <c r="AA22" i="67" a="1"/>
  <c r="AA22" i="67" s="1"/>
  <c r="BM22" i="67" s="1"/>
  <c r="AA14" i="67" a="1"/>
  <c r="AA14" i="67" s="1"/>
  <c r="BM14" i="67" s="1"/>
  <c r="AA97" i="67" a="1"/>
  <c r="AA97" i="67" s="1"/>
  <c r="BM97" i="67" s="1"/>
  <c r="AA104" i="67" a="1"/>
  <c r="AA104" i="67" s="1"/>
  <c r="BM104" i="67" s="1"/>
  <c r="AA56" i="67" a="1"/>
  <c r="AA56" i="67" s="1"/>
  <c r="BM56" i="67" s="1"/>
  <c r="AA95" i="67" a="1"/>
  <c r="AA95" i="67" s="1"/>
  <c r="BM95" i="67" s="1"/>
  <c r="AA71" i="67" a="1"/>
  <c r="AA71" i="67" s="1"/>
  <c r="BM71" i="67" s="1"/>
  <c r="AA102" i="67" a="1"/>
  <c r="AA102" i="67" s="1"/>
  <c r="BM102" i="67" s="1"/>
  <c r="AA70" i="67" a="1"/>
  <c r="AA70" i="67" s="1"/>
  <c r="BM70" i="67" s="1"/>
  <c r="AA46" i="67" a="1"/>
  <c r="AA46" i="67" s="1"/>
  <c r="BM46" i="67" s="1"/>
  <c r="AA101" i="67" a="1"/>
  <c r="AA101" i="67" s="1"/>
  <c r="BM101" i="67" s="1"/>
  <c r="AA93" i="67" a="1"/>
  <c r="AA93" i="67" s="1"/>
  <c r="BM93" i="67" s="1"/>
  <c r="AA85" i="67" a="1"/>
  <c r="AA85" i="67" s="1"/>
  <c r="BM85" i="67" s="1"/>
  <c r="AA77" i="67" a="1"/>
  <c r="AA77" i="67" s="1"/>
  <c r="BM77" i="67" s="1"/>
  <c r="AA69" i="67" a="1"/>
  <c r="AA69" i="67" s="1"/>
  <c r="BM69" i="67" s="1"/>
  <c r="AA61" i="67" a="1"/>
  <c r="AA61" i="67" s="1"/>
  <c r="BM61" i="67" s="1"/>
  <c r="AA53" i="67" a="1"/>
  <c r="AA53" i="67" s="1"/>
  <c r="BM53" i="67" s="1"/>
  <c r="AA45" i="67" a="1"/>
  <c r="AA45" i="67" s="1"/>
  <c r="BM45" i="67" s="1"/>
  <c r="AA37" i="67" a="1"/>
  <c r="AA37" i="67" s="1"/>
  <c r="BM37" i="67" s="1"/>
  <c r="AA29" i="67" a="1"/>
  <c r="AA29" i="67" s="1"/>
  <c r="BM29" i="67" s="1"/>
  <c r="AA21" i="67" a="1"/>
  <c r="AA21" i="67" s="1"/>
  <c r="BM21" i="67" s="1"/>
  <c r="AA13" i="67" a="1"/>
  <c r="AA13" i="67" s="1"/>
  <c r="BM13" i="67" s="1"/>
  <c r="AA89" i="67" a="1"/>
  <c r="AA89" i="67" s="1"/>
  <c r="BM89" i="67" s="1"/>
  <c r="AA96" i="67" a="1"/>
  <c r="AA96" i="67" s="1"/>
  <c r="BM96" i="67" s="1"/>
  <c r="AA48" i="67" a="1"/>
  <c r="AA48" i="67" s="1"/>
  <c r="BM48" i="67" s="1"/>
  <c r="AA103" i="67" a="1"/>
  <c r="AA103" i="67" s="1"/>
  <c r="BM103" i="67" s="1"/>
  <c r="AA63" i="67" a="1"/>
  <c r="AA63" i="67" s="1"/>
  <c r="BM63" i="67" s="1"/>
  <c r="AA86" i="67" a="1"/>
  <c r="AA86" i="67" s="1"/>
  <c r="BM86" i="67" s="1"/>
  <c r="AA30" i="67" a="1"/>
  <c r="AA30" i="67" s="1"/>
  <c r="BM30" i="67" s="1"/>
  <c r="AA100" i="67" a="1"/>
  <c r="AA100" i="67" s="1"/>
  <c r="BM100" i="67" s="1"/>
  <c r="AA92" i="67" a="1"/>
  <c r="AA92" i="67" s="1"/>
  <c r="BM92" i="67" s="1"/>
  <c r="AA84" i="67" a="1"/>
  <c r="AA84" i="67" s="1"/>
  <c r="BM84" i="67" s="1"/>
  <c r="AA76" i="67" a="1"/>
  <c r="AA76" i="67" s="1"/>
  <c r="BM76" i="67" s="1"/>
  <c r="AA68" i="67" a="1"/>
  <c r="AA68" i="67" s="1"/>
  <c r="BM68" i="67" s="1"/>
  <c r="AA60" i="67" a="1"/>
  <c r="AA60" i="67" s="1"/>
  <c r="BM60" i="67" s="1"/>
  <c r="AA52" i="67" a="1"/>
  <c r="AA52" i="67" s="1"/>
  <c r="BM52" i="67" s="1"/>
  <c r="AA44" i="67" a="1"/>
  <c r="AA44" i="67" s="1"/>
  <c r="BM44" i="67" s="1"/>
  <c r="AA36" i="67" a="1"/>
  <c r="AA36" i="67" s="1"/>
  <c r="BM36" i="67" s="1"/>
  <c r="AA28" i="67" a="1"/>
  <c r="AA28" i="67" s="1"/>
  <c r="BM28" i="67" s="1"/>
  <c r="AA20" i="67" a="1"/>
  <c r="AA20" i="67" s="1"/>
  <c r="BM20" i="67" s="1"/>
  <c r="AA12" i="67" a="1"/>
  <c r="AA12" i="67" s="1"/>
  <c r="BM12" i="67" s="1"/>
  <c r="AA73" i="67" a="1"/>
  <c r="AA73" i="67" s="1"/>
  <c r="BM73" i="67" s="1"/>
  <c r="AA64" i="67" a="1"/>
  <c r="AA64" i="67" s="1"/>
  <c r="BM64" i="67" s="1"/>
  <c r="AA87" i="67" a="1"/>
  <c r="AA87" i="67" s="1"/>
  <c r="BM87" i="67" s="1"/>
  <c r="AA47" i="67" a="1"/>
  <c r="AA47" i="67" s="1"/>
  <c r="BM47" i="67" s="1"/>
  <c r="AA78" i="67" a="1"/>
  <c r="AA78" i="67" s="1"/>
  <c r="BM78" i="67" s="1"/>
  <c r="AA38" i="67" a="1"/>
  <c r="AA38" i="67" s="1"/>
  <c r="BM38" i="67" s="1"/>
  <c r="AA99" i="67" a="1"/>
  <c r="AA99" i="67" s="1"/>
  <c r="BM99" i="67" s="1"/>
  <c r="AA91" i="67" a="1"/>
  <c r="AA91" i="67" s="1"/>
  <c r="BM91" i="67" s="1"/>
  <c r="AA83" i="67" a="1"/>
  <c r="AA83" i="67" s="1"/>
  <c r="BM83" i="67" s="1"/>
  <c r="AA75" i="67" a="1"/>
  <c r="AA75" i="67" s="1"/>
  <c r="BM75" i="67" s="1"/>
  <c r="AA67" i="67" a="1"/>
  <c r="AA67" i="67" s="1"/>
  <c r="BM67" i="67" s="1"/>
  <c r="AA59" i="67" a="1"/>
  <c r="AA59" i="67" s="1"/>
  <c r="BM59" i="67" s="1"/>
  <c r="AA51" i="67" a="1"/>
  <c r="AA51" i="67" s="1"/>
  <c r="BM51" i="67" s="1"/>
  <c r="AA43" i="67" a="1"/>
  <c r="AA43" i="67" s="1"/>
  <c r="BM43" i="67" s="1"/>
  <c r="AA35" i="67" a="1"/>
  <c r="AA35" i="67" s="1"/>
  <c r="BM35" i="67" s="1"/>
  <c r="AA27" i="67" a="1"/>
  <c r="AA27" i="67" s="1"/>
  <c r="BM27" i="67" s="1"/>
  <c r="AA19" i="67" a="1"/>
  <c r="AA19" i="67" s="1"/>
  <c r="BM19" i="67" s="1"/>
  <c r="AA11" i="67" a="1"/>
  <c r="AA11" i="67" s="1"/>
  <c r="BM11" i="67" s="1"/>
  <c r="AD78" i="55"/>
  <c r="AD52" i="55"/>
  <c r="AD77" i="55"/>
  <c r="AD44" i="55"/>
  <c r="AD40" i="55"/>
  <c r="AD90" i="55"/>
  <c r="AD91" i="55"/>
  <c r="AD66" i="55"/>
  <c r="AD24" i="55"/>
  <c r="AD97" i="55"/>
  <c r="AD94" i="55"/>
  <c r="AD76" i="55"/>
  <c r="AD85" i="55"/>
  <c r="AD35" i="55"/>
  <c r="AD68" i="55"/>
  <c r="AD63" i="55"/>
  <c r="AD64" i="55"/>
  <c r="AD99" i="55"/>
  <c r="AD41" i="55"/>
  <c r="AD46" i="55"/>
  <c r="AD29" i="55"/>
  <c r="AD79" i="55"/>
  <c r="AD30" i="55"/>
  <c r="AD72" i="55"/>
  <c r="AD84" i="55"/>
  <c r="AD65" i="55"/>
  <c r="AD103" i="55"/>
  <c r="AD102" i="55"/>
  <c r="AD33" i="55"/>
  <c r="AD50" i="55"/>
  <c r="AD23" i="55"/>
  <c r="AD28" i="55"/>
  <c r="AD86" i="55"/>
  <c r="AD49" i="55"/>
  <c r="AD57" i="55"/>
  <c r="AD51" i="55"/>
  <c r="AD58" i="55"/>
  <c r="AD43" i="55"/>
  <c r="AD21" i="55"/>
  <c r="AD45" i="55"/>
  <c r="AD47" i="55"/>
  <c r="AD55" i="55"/>
  <c r="AD100" i="55"/>
  <c r="AD38" i="55"/>
  <c r="AD81" i="55"/>
  <c r="AD107" i="55"/>
  <c r="AD75" i="55"/>
  <c r="AD42" i="55"/>
  <c r="AD82" i="55"/>
  <c r="AD71" i="55"/>
  <c r="AD73" i="55"/>
  <c r="AD48" i="55"/>
  <c r="AD54" i="55"/>
  <c r="AD70" i="55"/>
  <c r="AD32" i="55"/>
  <c r="AD87" i="55"/>
  <c r="AD80" i="55"/>
  <c r="AD60" i="55"/>
  <c r="AD31" i="55"/>
  <c r="AD67" i="55"/>
  <c r="AD104" i="55"/>
  <c r="AD88" i="55"/>
  <c r="AD89" i="55"/>
  <c r="AD93" i="55"/>
  <c r="AD27" i="55"/>
  <c r="AD25" i="55"/>
  <c r="AD22" i="55"/>
  <c r="AD39" i="55"/>
  <c r="AD108" i="55"/>
  <c r="AD56" i="55"/>
  <c r="AD34" i="55"/>
  <c r="AD95" i="55"/>
  <c r="AD92" i="55"/>
  <c r="AD98" i="55"/>
  <c r="AD105" i="55"/>
  <c r="AD37" i="55"/>
  <c r="AD74" i="55"/>
  <c r="AD53" i="55"/>
  <c r="AD36" i="55"/>
  <c r="AA6" i="67" a="1"/>
  <c r="AA6" i="67" s="1"/>
  <c r="BM6" i="67" s="1"/>
  <c r="Q29" i="31"/>
  <c r="Q31" i="31"/>
  <c r="Q33" i="31"/>
  <c r="AC109" i="55"/>
  <c r="AB81" i="67"/>
  <c r="AB88" i="67"/>
  <c r="AD26" i="55"/>
  <c r="AD59" i="55"/>
  <c r="S4" i="67"/>
  <c r="BJ4" i="67" s="1" a="1"/>
  <c r="BJ4" i="67" s="1"/>
  <c r="AB54" i="67" l="1"/>
  <c r="BN88" i="67"/>
  <c r="BK88" i="67" a="1"/>
  <c r="BK88" i="67" s="1"/>
  <c r="BK81" i="67" a="1"/>
  <c r="BK81" i="67" s="1"/>
  <c r="BN81" i="67"/>
  <c r="BN54" i="67"/>
  <c r="BK54" i="67" a="1"/>
  <c r="BK54" i="67" s="1"/>
  <c r="AB46" i="67"/>
  <c r="AB94" i="67"/>
  <c r="AB73" i="67"/>
  <c r="AB92" i="67"/>
  <c r="AB13" i="67"/>
  <c r="AB69" i="67"/>
  <c r="AB36" i="67"/>
  <c r="AB101" i="67"/>
  <c r="AB79" i="67"/>
  <c r="AB95" i="67"/>
  <c r="AB6" i="67"/>
  <c r="AB7" i="67"/>
  <c r="AB75" i="67"/>
  <c r="AB32" i="67"/>
  <c r="AB37" i="67"/>
  <c r="AB41" i="67"/>
  <c r="AB90" i="67"/>
  <c r="AB68" i="67"/>
  <c r="AB60" i="67"/>
  <c r="AB80" i="67"/>
  <c r="AB10" i="67"/>
  <c r="AB24" i="67"/>
  <c r="AB97" i="67"/>
  <c r="AB65" i="67"/>
  <c r="AB34" i="67"/>
  <c r="AB84" i="67"/>
  <c r="AB14" i="67"/>
  <c r="AB39" i="67"/>
  <c r="AB43" i="67"/>
  <c r="AB78" i="67"/>
  <c r="AB96" i="67"/>
  <c r="AB28" i="67"/>
  <c r="AB63" i="67"/>
  <c r="AB100" i="67"/>
  <c r="AB38" i="67"/>
  <c r="AB19" i="67"/>
  <c r="AB11" i="67"/>
  <c r="AB102" i="67"/>
  <c r="AB89" i="67"/>
  <c r="AB93" i="67"/>
  <c r="AB64" i="67"/>
  <c r="AB50" i="67"/>
  <c r="AB85" i="67"/>
  <c r="AB12" i="67"/>
  <c r="AB23" i="67"/>
  <c r="AB40" i="67"/>
  <c r="AB35" i="67"/>
  <c r="AB9" i="67"/>
  <c r="AB53" i="67"/>
  <c r="AB86" i="67"/>
  <c r="AB103" i="67"/>
  <c r="AB25" i="67"/>
  <c r="AB74" i="67"/>
  <c r="AB44" i="67"/>
  <c r="AB77" i="67"/>
  <c r="AB31" i="67"/>
  <c r="AB48" i="67"/>
  <c r="AB49" i="67"/>
  <c r="AB99" i="67"/>
  <c r="AB57" i="67"/>
  <c r="AB27" i="67"/>
  <c r="AB76" i="67"/>
  <c r="AB30" i="67"/>
  <c r="AB20" i="67"/>
  <c r="AB22" i="67"/>
  <c r="AB56" i="67"/>
  <c r="AB59" i="67"/>
  <c r="AB62" i="67"/>
  <c r="AB51" i="67"/>
  <c r="AB55" i="67"/>
  <c r="AB72" i="67"/>
  <c r="AB26" i="67"/>
  <c r="AB29" i="67"/>
  <c r="AB52" i="67"/>
  <c r="AB66" i="67"/>
  <c r="AB67" i="67"/>
  <c r="AB8" i="67"/>
  <c r="AB15" i="67"/>
  <c r="AB71" i="67"/>
  <c r="AB42" i="67"/>
  <c r="AB91" i="67"/>
  <c r="AB45" i="67"/>
  <c r="AB17" i="67"/>
  <c r="AB18" i="67"/>
  <c r="AB82" i="67"/>
  <c r="AB83" i="67"/>
  <c r="AB47" i="67"/>
  <c r="AB70" i="67"/>
  <c r="AB87" i="67"/>
  <c r="AB104" i="67"/>
  <c r="AB58" i="67"/>
  <c r="AB61" i="67"/>
  <c r="AB16" i="67"/>
  <c r="AB33" i="67"/>
  <c r="AB98" i="67"/>
  <c r="AB21" i="67"/>
  <c r="Q37" i="31"/>
  <c r="F6" i="71"/>
  <c r="AD109" i="55"/>
  <c r="BN70" i="67" l="1"/>
  <c r="BK70" i="67" a="1"/>
  <c r="BK70" i="67" s="1"/>
  <c r="BK9" i="67" a="1"/>
  <c r="BK9" i="67" s="1"/>
  <c r="BN9" i="67"/>
  <c r="BN104" i="67"/>
  <c r="BK104" i="67" a="1"/>
  <c r="BK104" i="67" s="1"/>
  <c r="BN45" i="67"/>
  <c r="BK45" i="67" a="1"/>
  <c r="BK45" i="67" s="1"/>
  <c r="BN52" i="67"/>
  <c r="BK52" i="67" a="1"/>
  <c r="BK52" i="67" s="1"/>
  <c r="BN56" i="67"/>
  <c r="BK56" i="67" a="1"/>
  <c r="BK56" i="67" s="1"/>
  <c r="BN49" i="67"/>
  <c r="BK49" i="67" a="1"/>
  <c r="BK49" i="67" s="1"/>
  <c r="BK86" i="67" a="1"/>
  <c r="BK86" i="67" s="1"/>
  <c r="BN86" i="67"/>
  <c r="BK50" i="67" a="1"/>
  <c r="BK50" i="67" s="1"/>
  <c r="BN50" i="67"/>
  <c r="BN100" i="67"/>
  <c r="BK100" i="67" a="1"/>
  <c r="BK100" i="67" s="1"/>
  <c r="BK84" i="67" a="1"/>
  <c r="BK84" i="67" s="1"/>
  <c r="BN84" i="67"/>
  <c r="BN68" i="67"/>
  <c r="BK68" i="67" a="1"/>
  <c r="BK68" i="67" s="1"/>
  <c r="BK95" i="67" a="1"/>
  <c r="BK95" i="67" s="1"/>
  <c r="BN95" i="67"/>
  <c r="BN94" i="67"/>
  <c r="BK94" i="67" a="1"/>
  <c r="BK94" i="67" s="1"/>
  <c r="BK87" i="67" a="1"/>
  <c r="BK87" i="67" s="1"/>
  <c r="BN87" i="67"/>
  <c r="BK91" i="67" a="1"/>
  <c r="BK91" i="67" s="1"/>
  <c r="BN91" i="67"/>
  <c r="BN29" i="67"/>
  <c r="BK29" i="67" a="1"/>
  <c r="BK29" i="67" s="1"/>
  <c r="BN22" i="67"/>
  <c r="BK22" i="67" a="1"/>
  <c r="BK22" i="67" s="1"/>
  <c r="BK48" i="67" a="1"/>
  <c r="BK48" i="67" s="1"/>
  <c r="BN48" i="67"/>
  <c r="BK53" i="67" a="1"/>
  <c r="BK53" i="67" s="1"/>
  <c r="BN53" i="67"/>
  <c r="BN64" i="67"/>
  <c r="BK64" i="67" a="1"/>
  <c r="BK64" i="67" s="1"/>
  <c r="BK63" i="67" a="1"/>
  <c r="BK63" i="67" s="1"/>
  <c r="BN63" i="67"/>
  <c r="BN34" i="67"/>
  <c r="BK34" i="67" a="1"/>
  <c r="BK34" i="67" s="1"/>
  <c r="BN90" i="67"/>
  <c r="BK90" i="67" a="1"/>
  <c r="BK90" i="67" s="1"/>
  <c r="BK79" i="67" a="1"/>
  <c r="BK79" i="67" s="1"/>
  <c r="BN79" i="67"/>
  <c r="BN46" i="67"/>
  <c r="BK46" i="67" a="1"/>
  <c r="BK46" i="67" s="1"/>
  <c r="BN42" i="67"/>
  <c r="BK42" i="67" a="1"/>
  <c r="BK42" i="67" s="1"/>
  <c r="BN20" i="67"/>
  <c r="BK20" i="67" a="1"/>
  <c r="BK20" i="67" s="1"/>
  <c r="BN93" i="67"/>
  <c r="BK93" i="67" a="1"/>
  <c r="BK93" i="67" s="1"/>
  <c r="BK65" i="67" a="1"/>
  <c r="BK65" i="67" s="1"/>
  <c r="BN65" i="67"/>
  <c r="BN41" i="67"/>
  <c r="BK41" i="67" a="1"/>
  <c r="BK41" i="67" s="1"/>
  <c r="BN101" i="67"/>
  <c r="BK101" i="67" a="1"/>
  <c r="BK101" i="67" s="1"/>
  <c r="BK98" i="67" a="1"/>
  <c r="BK98" i="67" s="1"/>
  <c r="BN98" i="67"/>
  <c r="BN71" i="67"/>
  <c r="BK71" i="67" a="1"/>
  <c r="BK71" i="67" s="1"/>
  <c r="BK30" i="67" a="1"/>
  <c r="BK30" i="67" s="1"/>
  <c r="BN30" i="67"/>
  <c r="BN35" i="67"/>
  <c r="BK35" i="67" a="1"/>
  <c r="BK35" i="67" s="1"/>
  <c r="BK96" i="67" a="1"/>
  <c r="BK96" i="67" s="1"/>
  <c r="BN96" i="67"/>
  <c r="BK37" i="67" a="1"/>
  <c r="BK37" i="67" s="1"/>
  <c r="BN37" i="67"/>
  <c r="BN15" i="67"/>
  <c r="BK15" i="67" a="1"/>
  <c r="BK15" i="67" s="1"/>
  <c r="BN76" i="67"/>
  <c r="BK76" i="67" a="1"/>
  <c r="BK76" i="67" s="1"/>
  <c r="BK40" i="67" a="1"/>
  <c r="BK40" i="67" s="1"/>
  <c r="BN40" i="67"/>
  <c r="BK78" i="67" a="1"/>
  <c r="BK78" i="67" s="1"/>
  <c r="BN78" i="67"/>
  <c r="BN32" i="67"/>
  <c r="BK32" i="67" a="1"/>
  <c r="BK32" i="67" s="1"/>
  <c r="BN82" i="67"/>
  <c r="BK82" i="67" a="1"/>
  <c r="BK82" i="67" s="1"/>
  <c r="BK51" i="67" a="1"/>
  <c r="BK51" i="67" s="1"/>
  <c r="BN51" i="67"/>
  <c r="BN74" i="67"/>
  <c r="BK74" i="67" a="1"/>
  <c r="BK74" i="67" s="1"/>
  <c r="BK11" i="67" a="1"/>
  <c r="BK11" i="67" s="1"/>
  <c r="BN11" i="67"/>
  <c r="BN10" i="67"/>
  <c r="BK10" i="67" a="1"/>
  <c r="BK10" i="67" s="1"/>
  <c r="BN75" i="67"/>
  <c r="BK75" i="67" a="1"/>
  <c r="BK75" i="67" s="1"/>
  <c r="BK13" i="67" a="1"/>
  <c r="BK13" i="67" s="1"/>
  <c r="BN13" i="67"/>
  <c r="BN18" i="67"/>
  <c r="BK18" i="67" a="1"/>
  <c r="BK18" i="67" s="1"/>
  <c r="BN62" i="67"/>
  <c r="BK62" i="67" a="1"/>
  <c r="BK62" i="67" s="1"/>
  <c r="BN25" i="67"/>
  <c r="BK25" i="67" a="1"/>
  <c r="BK25" i="67" s="1"/>
  <c r="BN12" i="67"/>
  <c r="BK12" i="67" a="1"/>
  <c r="BK12" i="67" s="1"/>
  <c r="BN19" i="67"/>
  <c r="BK19" i="67" a="1"/>
  <c r="BK19" i="67" s="1"/>
  <c r="BK39" i="67" a="1"/>
  <c r="BK39" i="67" s="1"/>
  <c r="BN39" i="67"/>
  <c r="BN80" i="67"/>
  <c r="BK80" i="67" a="1"/>
  <c r="BK80" i="67" s="1"/>
  <c r="BN7" i="67"/>
  <c r="BK7" i="67" a="1"/>
  <c r="BK7" i="67" s="1"/>
  <c r="BK92" i="67" a="1"/>
  <c r="BK92" i="67" s="1"/>
  <c r="BN92" i="67"/>
  <c r="BN21" i="67"/>
  <c r="BK21" i="67" a="1"/>
  <c r="BK21" i="67" s="1"/>
  <c r="BN26" i="67"/>
  <c r="BK26" i="67" a="1"/>
  <c r="BK26" i="67" s="1"/>
  <c r="BN31" i="67"/>
  <c r="BK31" i="67" a="1"/>
  <c r="BK31" i="67" s="1"/>
  <c r="BN28" i="67"/>
  <c r="BK28" i="67" a="1"/>
  <c r="BK28" i="67" s="1"/>
  <c r="BN47" i="67"/>
  <c r="BK47" i="67" a="1"/>
  <c r="BK47" i="67" s="1"/>
  <c r="BN72" i="67"/>
  <c r="BK72" i="67" a="1"/>
  <c r="BK72" i="67" s="1"/>
  <c r="BN77" i="67"/>
  <c r="BK77" i="67" a="1"/>
  <c r="BK77" i="67" s="1"/>
  <c r="BN89" i="67"/>
  <c r="BK89" i="67" a="1"/>
  <c r="BK89" i="67" s="1"/>
  <c r="BK97" i="67" a="1"/>
  <c r="BK97" i="67" s="1"/>
  <c r="BN97" i="67"/>
  <c r="BN36" i="67"/>
  <c r="BK36" i="67" a="1"/>
  <c r="BK36" i="67" s="1"/>
  <c r="BK33" i="67" a="1"/>
  <c r="BK33" i="67" s="1"/>
  <c r="BN33" i="67"/>
  <c r="BN83" i="67"/>
  <c r="BK83" i="67" a="1"/>
  <c r="BK83" i="67" s="1"/>
  <c r="BK55" i="67" a="1"/>
  <c r="BK55" i="67" s="1"/>
  <c r="BN55" i="67"/>
  <c r="BK44" i="67" a="1"/>
  <c r="BK44" i="67" s="1"/>
  <c r="BN44" i="67"/>
  <c r="BN102" i="67"/>
  <c r="BK102" i="67" a="1"/>
  <c r="BK102" i="67" s="1"/>
  <c r="BK24" i="67" a="1"/>
  <c r="BK24" i="67" s="1"/>
  <c r="BN24" i="67"/>
  <c r="BK69" i="67" a="1"/>
  <c r="BK69" i="67" s="1"/>
  <c r="BN69" i="67"/>
  <c r="BK16" i="67" a="1"/>
  <c r="BK16" i="67" s="1"/>
  <c r="BN16" i="67"/>
  <c r="BK8" i="67" a="1"/>
  <c r="BK8" i="67" s="1"/>
  <c r="BN8" i="67"/>
  <c r="BN27" i="67"/>
  <c r="BK27" i="67" a="1"/>
  <c r="BK27" i="67" s="1"/>
  <c r="BK23" i="67" a="1"/>
  <c r="BK23" i="67" s="1"/>
  <c r="BN23" i="67"/>
  <c r="BN43" i="67"/>
  <c r="BK43" i="67" a="1"/>
  <c r="BK43" i="67" s="1"/>
  <c r="BN61" i="67"/>
  <c r="BK61" i="67" a="1"/>
  <c r="BK61" i="67" s="1"/>
  <c r="BN67" i="67"/>
  <c r="BK67" i="67" a="1"/>
  <c r="BK67" i="67" s="1"/>
  <c r="BN57" i="67"/>
  <c r="BK57" i="67" a="1"/>
  <c r="BK57" i="67" s="1"/>
  <c r="BN58" i="67"/>
  <c r="BK58" i="67" a="1"/>
  <c r="BK58" i="67" s="1"/>
  <c r="BK17" i="67" a="1"/>
  <c r="BK17" i="67" s="1"/>
  <c r="BN17" i="67"/>
  <c r="BN66" i="67"/>
  <c r="BK66" i="67" a="1"/>
  <c r="BK66" i="67" s="1"/>
  <c r="BN59" i="67"/>
  <c r="BK59" i="67" a="1"/>
  <c r="BK59" i="67" s="1"/>
  <c r="BK99" i="67" a="1"/>
  <c r="BK99" i="67" s="1"/>
  <c r="BN99" i="67"/>
  <c r="BN103" i="67"/>
  <c r="BK103" i="67" a="1"/>
  <c r="BK103" i="67" s="1"/>
  <c r="BN85" i="67"/>
  <c r="BK85" i="67" a="1"/>
  <c r="BK85" i="67" s="1"/>
  <c r="BN38" i="67"/>
  <c r="BK38" i="67" a="1"/>
  <c r="BK38" i="67" s="1"/>
  <c r="BK14" i="67" a="1"/>
  <c r="BK14" i="67" s="1"/>
  <c r="BN14" i="67"/>
  <c r="BN60" i="67"/>
  <c r="BK60" i="67" a="1"/>
  <c r="BK60" i="67" s="1"/>
  <c r="BN6" i="67"/>
  <c r="BK6" i="67" a="1"/>
  <c r="BK6" i="67" s="1"/>
  <c r="BN73" i="67"/>
  <c r="BK73" i="67" a="1"/>
  <c r="BK73" i="67" s="1"/>
  <c r="D7" i="71"/>
  <c r="F7" i="71" s="1"/>
  <c r="F63" i="77"/>
  <c r="H63" i="77"/>
  <c r="F64" i="77"/>
  <c r="G64" i="77"/>
  <c r="H64" i="77"/>
  <c r="F65" i="77"/>
  <c r="G65" i="77"/>
  <c r="H65" i="77"/>
  <c r="F66" i="77"/>
  <c r="G66" i="77"/>
  <c r="H66" i="77"/>
  <c r="F62" i="77"/>
  <c r="I7" i="71" l="1"/>
  <c r="J7" i="71" s="1"/>
  <c r="I9" i="71"/>
  <c r="I10" i="71"/>
  <c r="I11" i="71"/>
  <c r="I12" i="71"/>
  <c r="I13" i="71"/>
  <c r="I14" i="71"/>
  <c r="I6" i="71"/>
  <c r="J6" i="71" s="1"/>
  <c r="L6" i="71" s="1"/>
  <c r="N6" i="71" s="1" a="1"/>
  <c r="N6" i="71" s="1"/>
  <c r="I8" i="71"/>
  <c r="G63" i="77"/>
  <c r="H62" i="77"/>
  <c r="G62" i="77"/>
  <c r="J66" i="77"/>
  <c r="J63" i="77"/>
  <c r="J64" i="77"/>
  <c r="J65" i="77"/>
  <c r="D14" i="71"/>
  <c r="D13" i="71"/>
  <c r="D12" i="71"/>
  <c r="D11" i="71"/>
  <c r="D10" i="71"/>
  <c r="D9" i="71"/>
  <c r="D8" i="71"/>
  <c r="AA105" i="67"/>
  <c r="Z105" i="67"/>
  <c r="J62" i="77" l="1"/>
  <c r="AJ105" i="70"/>
  <c r="AG105" i="70"/>
  <c r="F8" i="71"/>
  <c r="F5" i="31" s="1"/>
  <c r="F10" i="71"/>
  <c r="F9" i="71"/>
  <c r="F11" i="71"/>
  <c r="F13" i="71"/>
  <c r="F8" i="31" s="1"/>
  <c r="F14" i="71"/>
  <c r="F12" i="71"/>
  <c r="S105" i="69"/>
  <c r="F6" i="31" l="1"/>
  <c r="F15" i="71"/>
  <c r="F51" i="77" l="1"/>
  <c r="F52" i="77"/>
  <c r="F53" i="77"/>
  <c r="G53" i="77"/>
  <c r="F54" i="77"/>
  <c r="G54" i="77"/>
  <c r="G52" i="77" l="1"/>
  <c r="D17" i="48"/>
  <c r="H54" i="77"/>
  <c r="H52" i="77"/>
  <c r="G51" i="77"/>
  <c r="H53" i="77"/>
  <c r="H51" i="77"/>
  <c r="J54" i="77"/>
  <c r="J53" i="77"/>
  <c r="J52" i="77"/>
  <c r="I105" i="69"/>
  <c r="C3" i="31" s="1"/>
  <c r="J51" i="77" l="1"/>
  <c r="D16" i="48"/>
  <c r="F7" i="31"/>
  <c r="L7" i="71"/>
  <c r="N7" i="71" s="1" a="1"/>
  <c r="N7" i="71" s="1"/>
  <c r="BF105" i="67"/>
  <c r="J9" i="71"/>
  <c r="BJ109" i="55"/>
  <c r="V105" i="69"/>
  <c r="B33" i="31" l="1"/>
  <c r="B29" i="31"/>
  <c r="B30" i="31"/>
  <c r="M8" i="31"/>
  <c r="O8" i="31"/>
  <c r="Q8" i="31"/>
  <c r="J8" i="31"/>
  <c r="N8" i="31" a="1"/>
  <c r="N8" i="31" s="1"/>
  <c r="P8" i="31"/>
  <c r="K8" i="31"/>
  <c r="B35" i="31"/>
  <c r="B28" i="31"/>
  <c r="B34" i="31"/>
  <c r="B32" i="31"/>
  <c r="B36" i="31"/>
  <c r="B31" i="31"/>
  <c r="J69" i="77"/>
  <c r="L9" i="71"/>
  <c r="N9" i="71" s="1" a="1"/>
  <c r="N9" i="71" s="1"/>
  <c r="J8" i="71"/>
  <c r="J11" i="71"/>
  <c r="J13" i="71"/>
  <c r="J12" i="71"/>
  <c r="J14" i="71"/>
  <c r="J10" i="71"/>
  <c r="BL109" i="55"/>
  <c r="BP109" i="55"/>
  <c r="BK109" i="55"/>
  <c r="BQ109" i="55"/>
  <c r="BM105" i="67"/>
  <c r="BL105" i="67"/>
  <c r="BG105" i="67"/>
  <c r="AB105" i="67"/>
  <c r="L8" i="31" s="1"/>
  <c r="F34" i="31" l="1"/>
  <c r="N34" i="31" s="1"/>
  <c r="H34" i="31"/>
  <c r="E28" i="31"/>
  <c r="E31" i="31"/>
  <c r="E30" i="31"/>
  <c r="E34" i="31"/>
  <c r="E32" i="31"/>
  <c r="E29" i="31"/>
  <c r="E36" i="31"/>
  <c r="E33" i="31"/>
  <c r="E35" i="31"/>
  <c r="J9" i="31"/>
  <c r="J71" i="77"/>
  <c r="L12" i="71"/>
  <c r="N12" i="71" s="1" a="1"/>
  <c r="N12" i="71" s="1"/>
  <c r="L14" i="71"/>
  <c r="L13" i="71"/>
  <c r="N13" i="71" s="1" a="1"/>
  <c r="N13" i="71" s="1"/>
  <c r="L8" i="71"/>
  <c r="D14" i="48" s="1"/>
  <c r="L11" i="71"/>
  <c r="N11" i="71" s="1" a="1"/>
  <c r="N11" i="71" s="1"/>
  <c r="L10" i="71"/>
  <c r="N10" i="71" s="1" a="1"/>
  <c r="N10" i="71" s="1"/>
  <c r="C9" i="48"/>
  <c r="O10" i="71"/>
  <c r="O8" i="71"/>
  <c r="O9" i="71"/>
  <c r="O11" i="71"/>
  <c r="O12" i="71"/>
  <c r="O13" i="71"/>
  <c r="O14" i="71"/>
  <c r="O7" i="71"/>
  <c r="BR109" i="55"/>
  <c r="BH105" i="67"/>
  <c r="D15" i="48" l="1"/>
  <c r="C27" i="48"/>
  <c r="N8" i="71" a="1"/>
  <c r="N8" i="71" s="1"/>
  <c r="D18" i="48"/>
  <c r="N14" i="71" a="1"/>
  <c r="N14" i="71" s="1"/>
  <c r="H35" i="31"/>
  <c r="H36" i="31"/>
  <c r="H33" i="31"/>
  <c r="E37" i="31"/>
  <c r="J74" i="77"/>
  <c r="J72" i="77"/>
  <c r="J73" i="77"/>
  <c r="J70" i="77"/>
  <c r="J75" i="77"/>
  <c r="J76" i="77"/>
  <c r="J68" i="77"/>
  <c r="L15" i="71"/>
  <c r="B9" i="48" s="1"/>
  <c r="D9" i="48" s="1"/>
  <c r="BN105" i="67"/>
  <c r="F28" i="31" l="1"/>
  <c r="L16" i="48"/>
  <c r="F36" i="31"/>
  <c r="N36" i="31" s="1"/>
  <c r="F32" i="31"/>
  <c r="F35" i="31"/>
  <c r="N35" i="31" s="1"/>
  <c r="F33" i="31"/>
  <c r="N33" i="31" s="1"/>
  <c r="J16" i="48"/>
  <c r="C32" i="48"/>
  <c r="C33" i="48"/>
  <c r="F38" i="77" s="1"/>
  <c r="C31" i="48"/>
  <c r="C30" i="48"/>
  <c r="F35" i="77" s="1"/>
  <c r="C29" i="48"/>
  <c r="C28" i="48"/>
  <c r="C26" i="48"/>
  <c r="C25" i="48"/>
  <c r="N16" i="48"/>
  <c r="O16" i="48"/>
  <c r="P16" i="48"/>
  <c r="M16" i="48"/>
  <c r="Q16" i="48"/>
  <c r="K16" i="48"/>
  <c r="J89" i="77"/>
  <c r="J17" i="48" l="1"/>
  <c r="AB14" i="48"/>
  <c r="AB15" i="48" s="1"/>
  <c r="S26" i="48"/>
  <c r="F34" i="77"/>
  <c r="S28" i="48"/>
  <c r="F33" i="77"/>
  <c r="F31" i="77"/>
  <c r="S25" i="48"/>
  <c r="S29" i="48"/>
  <c r="S30" i="48"/>
  <c r="D31" i="48"/>
  <c r="S31" i="48"/>
  <c r="S33" i="48"/>
  <c r="D33" i="48"/>
  <c r="F36" i="77"/>
  <c r="S32" i="48"/>
  <c r="F37" i="77"/>
  <c r="F32" i="77"/>
  <c r="S27" i="48"/>
  <c r="F21" i="77"/>
  <c r="G31" i="48" l="1"/>
  <c r="T31" i="48"/>
  <c r="U31" i="48" s="1"/>
  <c r="G33" i="48"/>
  <c r="T33" i="48"/>
  <c r="U33" i="48" s="1"/>
  <c r="J33" i="48"/>
  <c r="G38" i="77"/>
  <c r="J31" i="48"/>
  <c r="G36" i="77"/>
  <c r="C4" i="31"/>
  <c r="O6" i="71" l="1"/>
  <c r="O15" i="71" l="1"/>
  <c r="C5" i="31" l="1"/>
  <c r="C34" i="31"/>
  <c r="S34" i="48" l="1"/>
  <c r="M17" i="48" s="1"/>
  <c r="J31" i="77" l="1"/>
  <c r="BR8" i="55"/>
  <c r="G23" i="77" l="1"/>
  <c r="B37" i="31"/>
  <c r="G28" i="31" l="1"/>
  <c r="F11" i="31"/>
  <c r="C32" i="31"/>
  <c r="G35" i="31"/>
  <c r="J35" i="31" s="1"/>
  <c r="G36" i="31"/>
  <c r="J36" i="31" s="1"/>
  <c r="G33" i="31"/>
  <c r="J33" i="31" s="1"/>
  <c r="H28" i="31"/>
  <c r="G34" i="31"/>
  <c r="J34" i="31" s="1"/>
  <c r="C33" i="31"/>
  <c r="C36" i="31"/>
  <c r="D37" i="31"/>
  <c r="C35" i="31"/>
  <c r="C29" i="31"/>
  <c r="C30" i="31"/>
  <c r="C31" i="31"/>
  <c r="C28" i="31"/>
  <c r="C37" i="31" l="1"/>
  <c r="F23" i="77" l="1"/>
  <c r="F22" i="77"/>
  <c r="F30" i="77"/>
  <c r="F39" i="77" s="1"/>
  <c r="F27" i="77" l="1"/>
  <c r="Q17" i="48"/>
  <c r="G27" i="77" s="1"/>
  <c r="O17" i="48"/>
  <c r="G25" i="77" s="1"/>
  <c r="F24" i="77"/>
  <c r="N17" i="48"/>
  <c r="G24" i="77" s="1"/>
  <c r="P17" i="48"/>
  <c r="G26" i="77" s="1"/>
  <c r="F25" i="77"/>
  <c r="C34" i="48"/>
  <c r="F26" i="77"/>
  <c r="AB17" i="48" l="1"/>
  <c r="E9" i="48"/>
  <c r="AB18" i="48"/>
  <c r="AB20" i="48" l="1"/>
  <c r="AB21" i="48"/>
  <c r="G16" i="48" l="1"/>
  <c r="K17" i="48" s="1"/>
  <c r="G21" i="77" s="1"/>
  <c r="G14" i="48"/>
  <c r="L17" i="48" s="1"/>
  <c r="G22" i="77" s="1"/>
  <c r="G17" i="48"/>
  <c r="F28" i="77"/>
  <c r="D32" i="48" l="1"/>
  <c r="G15" i="48"/>
  <c r="D27" i="48" s="1"/>
  <c r="G28" i="77"/>
  <c r="D26" i="48" l="1"/>
  <c r="D25" i="48"/>
  <c r="D28" i="48"/>
  <c r="G28" i="48" s="1"/>
  <c r="D29" i="48"/>
  <c r="G32" i="48"/>
  <c r="T32" i="48"/>
  <c r="U32" i="48" s="1"/>
  <c r="D30" i="48"/>
  <c r="G37" i="77"/>
  <c r="J32" i="48"/>
  <c r="G27" i="48"/>
  <c r="G30" i="77" l="1"/>
  <c r="T25" i="48"/>
  <c r="U25" i="48" s="1"/>
  <c r="J25" i="48"/>
  <c r="G25" i="48"/>
  <c r="G26" i="48"/>
  <c r="T26" i="48"/>
  <c r="U26" i="48" s="1"/>
  <c r="G33" i="77"/>
  <c r="G31" i="77"/>
  <c r="G35" i="77"/>
  <c r="T30" i="48"/>
  <c r="U30" i="48" s="1"/>
  <c r="G30" i="48"/>
  <c r="G34" i="77"/>
  <c r="G29" i="48"/>
  <c r="J30" i="48"/>
  <c r="G32" i="77"/>
  <c r="D34" i="48"/>
  <c r="I26" i="48" l="1"/>
  <c r="I25" i="48"/>
  <c r="E34" i="48"/>
  <c r="J9" i="48"/>
  <c r="J20" i="77" s="1"/>
  <c r="G19" i="48"/>
  <c r="I33" i="48"/>
  <c r="I30" i="48"/>
  <c r="L30" i="48" s="1"/>
  <c r="E25" i="48"/>
  <c r="I31" i="48"/>
  <c r="G34" i="48"/>
  <c r="G39" i="77"/>
  <c r="I32" i="48"/>
  <c r="G9" i="48"/>
  <c r="E27" i="48"/>
  <c r="F9" i="48"/>
  <c r="J19" i="77"/>
  <c r="E33" i="48"/>
  <c r="E32" i="48"/>
  <c r="E31" i="48"/>
  <c r="E30" i="48"/>
  <c r="E28" i="48"/>
  <c r="E26" i="48"/>
  <c r="E29" i="48"/>
  <c r="O25" i="48" l="1"/>
  <c r="Q25" i="48" s="1"/>
  <c r="L25" i="48"/>
  <c r="H25" i="48"/>
  <c r="P25" i="48" s="1"/>
  <c r="I34" i="48"/>
  <c r="O34" i="48" s="1"/>
  <c r="G18" i="48"/>
  <c r="H34" i="48"/>
  <c r="F34" i="48"/>
  <c r="H26" i="48"/>
  <c r="L32" i="48"/>
  <c r="O32" i="48"/>
  <c r="O30" i="48"/>
  <c r="L33" i="48"/>
  <c r="O33" i="48"/>
  <c r="L31" i="48"/>
  <c r="O31" i="48"/>
  <c r="H29" i="48"/>
  <c r="H30" i="48"/>
  <c r="H32" i="48"/>
  <c r="H27" i="48"/>
  <c r="H33" i="48"/>
  <c r="H28" i="48"/>
  <c r="H31" i="48"/>
  <c r="M25" i="48" l="1"/>
  <c r="K25" i="48"/>
  <c r="J34" i="48"/>
  <c r="I27" i="48"/>
  <c r="J27" i="48" s="1"/>
  <c r="I28" i="48"/>
  <c r="I29" i="48"/>
  <c r="J29" i="48" s="1"/>
  <c r="Q33" i="48"/>
  <c r="Q30" i="48"/>
  <c r="Q31" i="48"/>
  <c r="Q32" i="48"/>
  <c r="P30" i="48"/>
  <c r="R30" i="48" s="1"/>
  <c r="P32" i="48"/>
  <c r="R32" i="48" s="1"/>
  <c r="P31" i="48"/>
  <c r="R31" i="48" s="1"/>
  <c r="P33" i="48"/>
  <c r="R33" i="48" s="1"/>
  <c r="J28" i="48" l="1"/>
  <c r="L28" i="48"/>
  <c r="K9" i="48"/>
  <c r="J21" i="77" s="1"/>
  <c r="J26" i="48"/>
  <c r="L29" i="48" l="1"/>
  <c r="O29" i="48" s="1"/>
  <c r="L26" i="48"/>
  <c r="L34" i="48"/>
  <c r="L27" i="48"/>
  <c r="O27" i="48" s="1"/>
  <c r="O28" i="48"/>
  <c r="Q28" i="48" s="1"/>
  <c r="N25" i="48" l="1"/>
  <c r="O26" i="48"/>
  <c r="P26" i="48" s="1"/>
  <c r="P34" i="48"/>
  <c r="L9" i="48"/>
  <c r="J22" i="77"/>
  <c r="P28" i="48"/>
  <c r="R28" i="48" s="1"/>
  <c r="T28" i="48" s="1"/>
  <c r="U28" i="48" s="1"/>
  <c r="P27" i="48"/>
  <c r="R27" i="48" s="1"/>
  <c r="T27" i="48" s="1"/>
  <c r="U27" i="48" s="1"/>
  <c r="P29" i="48"/>
  <c r="R29" i="48" s="1"/>
  <c r="T29" i="48" s="1"/>
  <c r="U29" i="48" s="1"/>
  <c r="M9" i="48" l="1"/>
  <c r="R34" i="48"/>
  <c r="T34" i="48" s="1"/>
  <c r="U34" i="48" s="1"/>
  <c r="Q29" i="48"/>
  <c r="Q26" i="48"/>
  <c r="Q34" i="48"/>
  <c r="J23" i="77" s="1"/>
  <c r="Q27" i="48"/>
  <c r="I28" i="31"/>
  <c r="F29" i="31"/>
  <c r="F37" i="31"/>
  <c r="F31" i="31"/>
  <c r="F30" i="31"/>
  <c r="N9" i="48" l="1"/>
  <c r="O9" i="48"/>
  <c r="J32" i="77"/>
  <c r="J33" i="77" s="1"/>
  <c r="G31" i="31"/>
  <c r="H31" i="31" s="1"/>
  <c r="G32" i="31"/>
  <c r="G29" i="31"/>
  <c r="H29" i="31" s="1"/>
  <c r="G30" i="31"/>
  <c r="J37" i="31" l="1"/>
  <c r="J28" i="31"/>
  <c r="M28" i="31" s="1"/>
  <c r="J29" i="31"/>
  <c r="M29" i="31" s="1"/>
  <c r="J30" i="31"/>
  <c r="J32" i="31"/>
  <c r="M32" i="31" s="1"/>
  <c r="J31" i="31"/>
  <c r="M31" i="31" s="1"/>
  <c r="O31" i="31" s="1"/>
  <c r="H30" i="31"/>
  <c r="H32" i="31"/>
  <c r="H37" i="31"/>
  <c r="M34" i="31"/>
  <c r="O34" i="31" s="1"/>
  <c r="M36" i="31"/>
  <c r="O36" i="31" s="1"/>
  <c r="M35" i="31"/>
  <c r="M33" i="31"/>
  <c r="R33" i="31" l="1"/>
  <c r="S33" i="31" s="1"/>
  <c r="O33" i="31"/>
  <c r="N32" i="31"/>
  <c r="O32" i="31"/>
  <c r="R35" i="31"/>
  <c r="S35" i="31" s="1"/>
  <c r="O35" i="31"/>
  <c r="N29" i="31"/>
  <c r="O29" i="31"/>
  <c r="N28" i="31"/>
  <c r="O28" i="31"/>
  <c r="M37" i="31"/>
  <c r="K28" i="31"/>
  <c r="N31" i="31"/>
  <c r="R31" i="31" s="1"/>
  <c r="S31" i="31" s="1"/>
  <c r="R32" i="31"/>
  <c r="S32" i="31" s="1"/>
  <c r="M30" i="31"/>
  <c r="O30" i="31" s="1"/>
  <c r="R28" i="31"/>
  <c r="S28" i="31" s="1"/>
  <c r="R36" i="31"/>
  <c r="S36" i="31" s="1"/>
  <c r="I17" i="31"/>
  <c r="R34" i="31"/>
  <c r="S34" i="31" s="1"/>
  <c r="R29" i="31"/>
  <c r="S29" i="31" s="1"/>
  <c r="L28" i="31" l="1"/>
  <c r="O37" i="31"/>
  <c r="I18" i="31" s="1"/>
  <c r="N30" i="31"/>
  <c r="R30" i="31" s="1"/>
  <c r="S30" i="31" s="1"/>
  <c r="N37" i="31"/>
  <c r="R37" i="31" l="1"/>
  <c r="K20" i="31" l="1"/>
  <c r="S37"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Diana Lesprit</author>
  </authors>
  <commentList>
    <comment ref="K15" authorId="0" shapeId="0" xr:uid="{DF46BFF8-F2CF-4048-B6D1-585E5F896354}">
      <text>
        <r>
          <rPr>
            <b/>
            <sz val="14"/>
            <color rgb="FF000000"/>
            <rFont val="Tahoma"/>
            <family val="2"/>
          </rPr>
          <t>Attention : Le total des ressources prévisionnelles doit être égal ou inférieur au coût total du projet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<sst xmlns="http://schemas.openxmlformats.org/spreadsheetml/2006/main" count="902" uniqueCount="452">
  <si>
    <t>STRATEGIE REGIONALE GUADELOUPE FEADER 2023-2027</t>
  </si>
  <si>
    <t>SAISIR ICI L'INTITULE DE L'OPERATION</t>
  </si>
  <si>
    <t>SAISIR ICI LE NUMERO DU DOSSIER EUROPAC</t>
  </si>
  <si>
    <t>SAISIR ICI LE NOM DU DEMANDEUR OU DE LA STRUCTURE PORTEUSE</t>
  </si>
  <si>
    <t>Mesure 73.01 : Investissements dans les entreprises agricoles (« on farm »)</t>
  </si>
  <si>
    <t xml:space="preserve">Plan de financement prévisionnel </t>
  </si>
  <si>
    <t>version 17 - Février 2026</t>
  </si>
  <si>
    <t>Cette version du plan de financement est à utiliser uniquement pour les dossiers déposés à partir du 01/01/2023 inclus (date d'entrée en vigueur de la version 1 du PSR)
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</si>
  <si>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</si>
  <si>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Consignes d'utilisation</t>
  </si>
  <si>
    <r>
      <t xml:space="preserve">De façon générale:
</t>
    </r>
    <r>
      <rPr>
        <sz val="12"/>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2"/>
        <color rgb="FFFF0000"/>
        <rFont val="Calibri"/>
        <family val="2"/>
        <scheme val="minor"/>
      </rPr>
      <t>En particulier, les informations suivantes sont indispensables aux calculs :
 Type d'action ; Taux d'affectation ; Montants présentés, devis retenu.</t>
    </r>
  </si>
  <si>
    <r>
      <t xml:space="preserve">Accueil
</t>
    </r>
    <r>
      <rPr>
        <sz val="12"/>
        <color rgb="FFFF0000"/>
        <rFont val="Calibri"/>
        <family val="2"/>
        <scheme val="minor"/>
      </rPr>
      <t>Saisir l'intitulé de l'opération, le numéro du dossier EuroPAC et le nom du demandeur ou de la structure porteuse dans les lignes en jaune fluo dédiées (lignes 9 à 11).</t>
    </r>
  </si>
  <si>
    <r>
      <t>Présentation des postes de dépense et des types d'actions - onglet 0 :</t>
    </r>
    <r>
      <rPr>
        <sz val="12"/>
        <color theme="1"/>
        <rFont val="Calibri"/>
        <family val="2"/>
        <scheme val="minor"/>
      </rPr>
      <t xml:space="preserve">
L'onglet "0-Présentation poste-typeaction" vise à faciliter la compréhension du projet, et permet de regrouper différentes dépenses par poste de dépense et par type d'action. Cet onglet est à remplir en précisant, pour chaque poste de dépense qui sera par la suite saisi dans les onglets 1 à 9, le type d'action auquel il se rattache et ses modalités de prise en compte (soit au réel, soit par application d'une option de coûts simplifiés). Le poste de dépense correspond à l'intitulé des onglets 1 à 7. Le type d'action correspond aux actions éligibles à la notice. 
</t>
    </r>
    <r>
      <rPr>
        <sz val="12"/>
        <color rgb="FFFF0000"/>
        <rFont val="Calibri"/>
        <family val="2"/>
        <scheme val="minor"/>
      </rPr>
      <t xml:space="preserve">Si un type d'action est concerné par plusieurs postes de dépenses, saisir autant de lignes que de postes de dépenses pour ce type daction.
Exemple:
Type d'action / Modalités de prise en compte / Poste de dépense (Onglets 1 à 7)
1) Plantations pérennes  / Au réel / 1- Investissements
2) Plantations pérennes  / Au réel / 2- Frais généraux
</t>
    </r>
    <r>
      <rPr>
        <sz val="12"/>
        <color theme="1"/>
        <rFont val="Calibri"/>
        <family val="2"/>
        <scheme val="minor"/>
      </rPr>
      <t xml:space="preserve">
Les lignes grises vous montrent :
- Les différents types d'actions éligibles ;
- Les différentes modalités possibles de présenter chaque poste de dépense (Au réel/OCS) ;
- Les différents postes de dépenses éligibles (cf. menu déroulant).
Elles ne doivent pas être saisies, elles servent d'exemple.
Les lignes blanches doivent être saisies et montrent en synthèse à l'administration quels sont :
- Les types d'actions présentés ;
- La modalité utilisée pour présenter chaque poste de dépense (Au réel/OCS) ;
- Les différents postes de dépenses présentés.
</t>
    </r>
    <r>
      <rPr>
        <sz val="12"/>
        <color rgb="FFFF0000"/>
        <rFont val="Calibri"/>
        <family val="2"/>
        <scheme val="minor"/>
      </rPr>
      <t>Se référer à la notice pour identifier les modalités (Au réel/OCS) possibles par postes de dépenses.</t>
    </r>
  </si>
  <si>
    <r>
      <rPr>
        <b/>
        <sz val="12"/>
        <color theme="1"/>
        <rFont val="Calibri"/>
        <family val="2"/>
        <scheme val="minor"/>
      </rPr>
      <t>Dépenses prévisionnelles - onglets 1 à 7 :</t>
    </r>
    <r>
      <rPr>
        <sz val="12"/>
        <color theme="1"/>
        <rFont val="Calibri"/>
        <family val="2"/>
        <scheme val="minor"/>
      </rPr>
      <t xml:space="preserve">
</t>
    </r>
    <r>
      <rPr>
        <sz val="12"/>
        <color rgb="FFFF0000"/>
        <rFont val="Calibri"/>
        <family val="2"/>
        <scheme val="minor"/>
      </rPr>
      <t xml:space="preserve">Ces onglets sont à compléter uniquement si vous êtes concernés par le poste de dépense en question.
</t>
    </r>
    <r>
      <rPr>
        <sz val="12"/>
        <color theme="1"/>
        <rFont val="Calibri"/>
        <family val="2"/>
        <scheme val="minor"/>
      </rPr>
      <t xml:space="preserve">Pour chaque poste de dépense prévisionnelle (onglets 1 à 7), se positionner sur l'onglet correspondant et renseigner une ligne complète par dépense dans le tableau :
- chaque ligne correspond à </t>
    </r>
    <r>
      <rPr>
        <u/>
        <sz val="12"/>
        <color theme="1"/>
        <rFont val="Calibri"/>
        <family val="2"/>
        <scheme val="minor"/>
      </rPr>
      <t>une</t>
    </r>
    <r>
      <rPr>
        <sz val="12"/>
        <color theme="1"/>
        <rFont val="Calibri"/>
        <family val="2"/>
        <scheme val="minor"/>
      </rPr>
      <t xml:space="preserve"> dépense, aucune ne pouvant être regroupée. 
- les cases blanches sont à saisir et les informations nécessaires doivent y être portées (par exemple, pour un montant financier renseigner au maximum 2 décimales) ;
- les cases bleu clair ne sont pas à saisir et sont calculées à partir des informations saisies. </t>
    </r>
    <r>
      <rPr>
        <b/>
        <sz val="12"/>
        <color rgb="FFFF0000"/>
        <rFont val="Calibri"/>
        <family val="2"/>
        <scheme val="minor"/>
      </rPr>
      <t xml:space="preserve">
</t>
    </r>
    <r>
      <rPr>
        <sz val="12"/>
        <rFont val="Calibri"/>
        <family val="2"/>
        <scheme val="minor"/>
      </rPr>
      <t xml:space="preserve">- Sur chaque onglet, une ligne grisée vous servira d'exemple. Elle est pré-renseignée afin de vous guider dans la saisie des lignes de dépenses.
</t>
    </r>
  </si>
  <si>
    <r>
      <rPr>
        <b/>
        <sz val="12"/>
        <color theme="1"/>
        <rFont val="Calibri"/>
        <family val="2"/>
        <scheme val="minor"/>
      </rPr>
      <t>Synthèse des dépenses du bénéficiaire - onglet "Syn pf bénéficiaire"</t>
    </r>
    <r>
      <rPr>
        <sz val="12"/>
        <color theme="1"/>
        <rFont val="Calibri"/>
        <family val="2"/>
        <scheme val="minor"/>
      </rPr>
      <t xml:space="preserve">
Une fois toutes les dépenses prévisionnelles renseignées, se rendre dans l'onglet de synthèse.
l'onglet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</si>
  <si>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r>
      <rPr>
        <b/>
        <sz val="12"/>
        <color theme="1"/>
        <rFont val="Calibri"/>
        <family val="2"/>
        <scheme val="minor"/>
      </rPr>
      <t>Synthèse des dépenses instruites - onglet "Syn pf instructeur"</t>
    </r>
    <r>
      <rPr>
        <sz val="12"/>
        <color theme="1"/>
        <rFont val="Calibri"/>
        <family val="2"/>
        <scheme val="minor"/>
      </rPr>
      <t xml:space="preserve">
Cet onglet est entièrement réservé à l'administration.</t>
    </r>
  </si>
  <si>
    <t>Rappels généraux et points de vigilance</t>
  </si>
  <si>
    <t xml:space="preserve">. Pour chaque dépense, les justificatifs appropriés seront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le devis le mieux disant sera privilégié. Si le devis retenu par le bénéficiaire n'est pas le devis le moins cher, une note justificative du choix d'un devis plus cher devra être produite et sera soumise à arbitrage du service instructeur. Le service instructeur considérera l'effectivité des arguments avancés et plafonnera, le cas échéant, la dépense au coût raisonnable calculé. En cas d'absence de la note évoquée, la dépense sera plafonnée au coût du devis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
</t>
  </si>
  <si>
    <t>Rappels réglementaires</t>
  </si>
  <si>
    <t>Les forfaits, barèmes et coûts unitaires qu'il vous sera demandé de sélectionner sont ceux applicables (réglementairement en vigueur) à la date de réalisation de la dépense, ou à celle de dépôt du dossier si ignorée. Ces montants seront revus au regard des éléments portés à connaissance du service instructeur lors du dépôt d'une demande de paiement.</t>
  </si>
  <si>
    <t>Présentation des types d'actions et des postes de dépenses pour le dispositif 73.01</t>
  </si>
  <si>
    <t>Type d'action</t>
  </si>
  <si>
    <t>Onglet (Poste de dépense)</t>
  </si>
  <si>
    <t>Modalités de prise en compte</t>
  </si>
  <si>
    <t>Référentiel des listes déroulantes pour les types d'action (onglets 1 à 7 + synthèses)</t>
  </si>
  <si>
    <t>Postes de dépenses et types d'actions pour le dispositif 73.01</t>
  </si>
  <si>
    <r>
      <t>Modernisation des installations et mécanisation : équipement, de modernisation, et de sécurisation des exploitations et des groupements agricoles guadeloupéens
(</t>
    </r>
    <r>
      <rPr>
        <b/>
        <sz val="11"/>
        <color rgb="FF0070C0"/>
        <rFont val="Calibri"/>
        <family val="2"/>
        <scheme val="minor"/>
      </rPr>
      <t>Modernisation installations / mécanisation</t>
    </r>
    <r>
      <rPr>
        <sz val="11"/>
        <color rgb="FF0070C0"/>
        <rFont val="Calibri"/>
        <family val="2"/>
        <scheme val="minor"/>
      </rPr>
      <t>)</t>
    </r>
  </si>
  <si>
    <t>Modernisation installations / mécanisation</t>
  </si>
  <si>
    <r>
      <rPr>
        <sz val="11"/>
        <color rgb="FF0070C0"/>
        <rFont val="Calibri"/>
        <family val="2"/>
        <scheme val="minor"/>
      </rPr>
      <t>Construction et aménagement des bâtiments</t>
    </r>
    <r>
      <rPr>
        <b/>
        <sz val="11"/>
        <color rgb="FF0070C0"/>
        <rFont val="Calibri"/>
        <family val="2"/>
        <scheme val="minor"/>
      </rPr>
      <t xml:space="preserve">
</t>
    </r>
    <r>
      <rPr>
        <sz val="11"/>
        <color rgb="FF0070C0"/>
        <rFont val="Calibri"/>
        <family val="2"/>
        <scheme val="minor"/>
      </rPr>
      <t>(</t>
    </r>
    <r>
      <rPr>
        <b/>
        <sz val="11"/>
        <color rgb="FF0070C0"/>
        <rFont val="Calibri"/>
        <family val="2"/>
        <scheme val="minor"/>
      </rPr>
      <t>Construction / aménagement bâtiments</t>
    </r>
    <r>
      <rPr>
        <sz val="11"/>
        <color rgb="FF0070C0"/>
        <rFont val="Calibri"/>
        <family val="2"/>
        <scheme val="minor"/>
      </rPr>
      <t>)</t>
    </r>
  </si>
  <si>
    <t>Construction / aménagement bâtiments</t>
  </si>
  <si>
    <t>Plantations pérennes</t>
  </si>
  <si>
    <r>
      <rPr>
        <b/>
        <sz val="11"/>
        <color rgb="FF0070C0"/>
        <rFont val="Calibri"/>
        <family val="2"/>
        <scheme val="minor"/>
      </rPr>
      <t>Irrigation</t>
    </r>
    <r>
      <rPr>
        <sz val="11"/>
        <color rgb="FF0070C0"/>
        <rFont val="Calibri"/>
        <family val="2"/>
        <scheme val="minor"/>
      </rPr>
      <t xml:space="preserve"> (investissements de production à la parcelle, type pilotage, goutte à goutte, aspersion ; retenues individuelles, forages, pompes, réseaux de transport et 
distribution)</t>
    </r>
  </si>
  <si>
    <t>Irrigation</t>
  </si>
  <si>
    <t>Performance énergétique</t>
  </si>
  <si>
    <r>
      <t>Transformation et commercialisation de la production agricole de l'exploitation agricole
(</t>
    </r>
    <r>
      <rPr>
        <b/>
        <sz val="11"/>
        <color rgb="FF0070C0"/>
        <rFont val="Calibri"/>
        <family val="2"/>
        <scheme val="minor"/>
      </rPr>
      <t>Transformation / Commercialisation</t>
    </r>
    <r>
      <rPr>
        <sz val="11"/>
        <color rgb="FF0070C0"/>
        <rFont val="Calibri"/>
        <family val="2"/>
        <scheme val="minor"/>
      </rPr>
      <t>)</t>
    </r>
  </si>
  <si>
    <t>Transformation / Commercialisation</t>
  </si>
  <si>
    <t>Amélioration foncière</t>
  </si>
  <si>
    <r>
      <t>Diversification des activités de l’exploitation tels que l'agritourisme, l'accueil à la ferme (gîtes)
(</t>
    </r>
    <r>
      <rPr>
        <b/>
        <sz val="11"/>
        <color rgb="FF0070C0"/>
        <rFont val="Calibri"/>
        <family val="2"/>
        <scheme val="minor"/>
      </rPr>
      <t>Diversification des activités - gîtes ruraux</t>
    </r>
    <r>
      <rPr>
        <sz val="11"/>
        <color rgb="FF0070C0"/>
        <rFont val="Calibri"/>
        <family val="2"/>
        <scheme val="minor"/>
      </rPr>
      <t>)</t>
    </r>
  </si>
  <si>
    <t>Diversification des activités - gîtes ruraux</t>
  </si>
  <si>
    <r>
      <t>Diversification des activités de l’exploitation tels que l'agritourisme, l'accueil à la ferme (hors gîtes)
(</t>
    </r>
    <r>
      <rPr>
        <b/>
        <sz val="11"/>
        <color rgb="FF0070C0"/>
        <rFont val="Calibri"/>
        <family val="2"/>
        <scheme val="minor"/>
      </rPr>
      <t>Diversification des activités - hors gîtes ruraux</t>
    </r>
    <r>
      <rPr>
        <sz val="11"/>
        <color rgb="FF0070C0"/>
        <rFont val="Calibri"/>
        <family val="2"/>
        <scheme val="minor"/>
      </rPr>
      <t>)</t>
    </r>
  </si>
  <si>
    <t>Diversification des activités - hors gîtes ruraux</t>
  </si>
  <si>
    <t>Exemple</t>
  </si>
  <si>
    <t>1-Investissements</t>
  </si>
  <si>
    <t>2-Frais généraux</t>
  </si>
  <si>
    <t>6-Coût unitaire bananes</t>
  </si>
  <si>
    <t>7-Coût unitaire cannes à sucre</t>
  </si>
  <si>
    <t>Saisir vos choix dans les cases blanches à l'aide des menus déroulants.
Pour chaque type d'action sélectionné en colonne B, indiquer en colonne C les postes de dépenses présentés.
La colonne D se complète automatiquement en fonction du poste de dépense sélectionné en colonne C par rapport aux modalités de prise en compte possibles.</t>
  </si>
  <si>
    <t>Investissements matériels et immatériels</t>
  </si>
  <si>
    <t>À compter du 1er janvier 2024, les seuils de procédure formalisée sont les suivants :
• 143 000 € HT pour les marchés de fournitures et de services des autorités publiques centrales ;
• 221 000 € HT pour les marchés de fournitures et de services des autres pouvoirs adjudicateurs et pour les marchés publics de fournitures des autorités publiques centrales opérant dans le domaine de la défense ;
• 443 000 € HT pour les marchés de fournitures et de services des entités adjudicatrices et pour les marchés de fournitures et de services passés dans le domaine de la défense ou de la sécurité ;
• 5 382 000 € HT à 5 538 000 € HT pour les marchés de travaux et pour les contrats de concessions.</t>
  </si>
  <si>
    <r>
      <t>Partie à remplir par le bénéficiaire - Présentation des dépenses d'investissements matériels et immatériels</t>
    </r>
    <r>
      <rPr>
        <sz val="20"/>
        <color theme="1"/>
        <rFont val="Calibri"/>
        <family val="2"/>
        <scheme val="minor"/>
      </rPr>
      <t xml:space="preserve"> (justifiés par devis ou justificatifs équivalents)</t>
    </r>
    <r>
      <rPr>
        <b/>
        <sz val="20"/>
        <color theme="1"/>
        <rFont val="Calibri"/>
        <family val="2"/>
        <scheme val="minor"/>
      </rPr>
      <t xml:space="preserve">
</t>
    </r>
    <r>
      <rPr>
        <sz val="20"/>
        <color rgb="FFFF0000"/>
        <rFont val="Calibri"/>
        <family val="2"/>
        <scheme val="minor"/>
      </rPr>
      <t>Pour les dépenses hors marché public, présenter 2 pièces estimatives à partir d'un coût supérieur ou égal à 3 000€ HT et 3 pièces estimatives à partir d'un coût supérieur ou égal à 90 000€ HT.</t>
    </r>
  </si>
  <si>
    <r>
      <t>Partie réservée à l'administration - Instruction des dépenses d'investissements matériels et immatériels</t>
    </r>
    <r>
      <rPr>
        <sz val="20"/>
        <color theme="1"/>
        <rFont val="Calibri"/>
        <family val="2"/>
        <scheme val="minor"/>
      </rPr>
      <t xml:space="preserve"> (justifiées par devis ou justificatifs équivalents)</t>
    </r>
  </si>
  <si>
    <t>Numéro de la dépense</t>
  </si>
  <si>
    <t>Description de la dépense</t>
  </si>
  <si>
    <t>S'agit-il d'un achat de terrain hors terrain à des fins de protection de l’environnement et de préservation des sols riches en carbone, ou terrain pour de jeunes agriculteurs acquis au moyen d’instrument financier?</t>
  </si>
  <si>
    <t>Taux d'affectation à l'opération</t>
  </si>
  <si>
    <t>Type d'action concerné</t>
  </si>
  <si>
    <t>Auto-construction</t>
  </si>
  <si>
    <t>Présence d'un marché public</t>
  </si>
  <si>
    <t>Seuil du marché public</t>
  </si>
  <si>
    <t>Quantité / Poids / Surface / Autre</t>
  </si>
  <si>
    <t>Unité dans laquelle s'exprime la quantité/ le montant</t>
  </si>
  <si>
    <t>Nombre de pièces estimative des dépenses jointes</t>
  </si>
  <si>
    <t>Dénomination du fournisseur retenu</t>
  </si>
  <si>
    <t>Référence du justificatif retenu</t>
  </si>
  <si>
    <t>Montant HT
du Devis 1</t>
  </si>
  <si>
    <t>Montant TVA
du Devis 1</t>
  </si>
  <si>
    <t>Montant TTC
du Devis 1</t>
  </si>
  <si>
    <t>Dénomination du fournisseur</t>
  </si>
  <si>
    <t xml:space="preserve">Référence du justificatif </t>
  </si>
  <si>
    <t>Montant HT
du devis contradictoire
Devis 2</t>
  </si>
  <si>
    <t>Montant TVA
du devis contradictoire
Devis 2</t>
  </si>
  <si>
    <t>Montant TTC
du devis contradictoire
Devis 2</t>
  </si>
  <si>
    <t>Référence du justificatif</t>
  </si>
  <si>
    <t>Montant HT
du devis contradictoire
Devis 3</t>
  </si>
  <si>
    <t>Montant TVA
du devis contradictoire
Devis 3</t>
  </si>
  <si>
    <t>Montant TTC
du devis contradictoire
Devis 3</t>
  </si>
  <si>
    <t>Devis sélectionné</t>
  </si>
  <si>
    <t>Montant présenté HT
Devis sélectionné</t>
  </si>
  <si>
    <t>Montant présenté TVA
Devis sélectionné</t>
  </si>
  <si>
    <t>Montant présenté TTC
Devis sélectionné</t>
  </si>
  <si>
    <t>Commentaires</t>
  </si>
  <si>
    <t>Quantité / Montant</t>
  </si>
  <si>
    <t xml:space="preserve">Dénomination du fournisseur </t>
  </si>
  <si>
    <t>Devis retenu</t>
  </si>
  <si>
    <t>Justificatif(s) appropriés joints</t>
  </si>
  <si>
    <t xml:space="preserve">Montant raisonnable HT </t>
  </si>
  <si>
    <t>Montant raisonnable TVA</t>
  </si>
  <si>
    <t xml:space="preserve">Montant raisonnable TTC </t>
  </si>
  <si>
    <t>Montant éligible HT</t>
  </si>
  <si>
    <t xml:space="preserve">Montant éligible TVA </t>
  </si>
  <si>
    <t>Montant éligible TTC</t>
  </si>
  <si>
    <t>Commentaires du Service Instructeur</t>
  </si>
  <si>
    <t>Contrôle bloquant coût raisonnable</t>
  </si>
  <si>
    <t>Contrôle bloquant, vérification et traçage sur les montants</t>
  </si>
  <si>
    <t>Montant HT écarté</t>
  </si>
  <si>
    <t>Montant TVA écarté</t>
  </si>
  <si>
    <t>Montant écarté TTC</t>
  </si>
  <si>
    <t>Type de dépense (acquisition de matériel, location, acquisition de brevets, logiciels…)</t>
  </si>
  <si>
    <r>
      <t xml:space="preserve">(choisir "Oui" s'il s'agit d'un achat de terrain hors terrain à des fins de protection de l’environnement et de préservation des sols riches en carbone, ou terrain pour de jeunes agriculteurs acquis au moyen d’instrument financier ;
choisir "Non" s'il ne s'agit pas d'un achat de terrain ou s'il s'agit d'un achat de terrain à des fins de protection de l’environnement et de préservation des sols riches en carbone, ou d'un terrain pour de jeunes agriculteurs acquis au moyen d’instrument financier)
</t>
    </r>
    <r>
      <rPr>
        <i/>
        <sz val="11"/>
        <color rgb="FFFF0000"/>
        <rFont val="Calibri"/>
        <family val="2"/>
        <scheme val="minor"/>
      </rPr>
      <t>Le plafond de l'achat de terrain ne s'applique que pour la somme des lignes pour lesquelles la réponse est "Oui".</t>
    </r>
  </si>
  <si>
    <t xml:space="preserve">(Si la dépense est affectée partiellement à l'opération, préciser le taux de proratisation retenu ex: 50%). 
Si la dépense est intégralement liée à l'opération, préciser 100%) </t>
  </si>
  <si>
    <t>(nom du type d'action à sélectionner dans le menu déroulant, en cohérence avec les éléments saisis dans l'onglet 0)</t>
  </si>
  <si>
    <t>(s'agit-il d'une dépense/d'un devis retenu pour l'auto-construction?
Réponse à sélectionner dans le menu déroulant)</t>
  </si>
  <si>
    <r>
      <t xml:space="preserve">(absence ou type de marché public à sélectionner dans le menu déroulant)
</t>
    </r>
    <r>
      <rPr>
        <b/>
        <i/>
        <sz val="11"/>
        <color rgb="FFFF0000"/>
        <rFont val="Calibri"/>
        <family val="2"/>
        <scheme val="minor"/>
      </rPr>
      <t>Si oui, renseigner l'onglet "Liste MP"</t>
    </r>
  </si>
  <si>
    <r>
      <rPr>
        <i/>
        <sz val="11"/>
        <color rgb="FF000000"/>
        <rFont val="Calibri"/>
        <family val="2"/>
        <scheme val="minor"/>
      </rPr>
      <t xml:space="preserve">Pour les marchés publics de travaux ou de fournitures et de services, la valeur est-elle supérieure aux seuils rappelés en encart ci-dessus ?
</t>
    </r>
    <r>
      <rPr>
        <i/>
        <sz val="11"/>
        <color rgb="FFFF0000"/>
        <rFont val="Calibri"/>
        <family val="2"/>
        <scheme val="minor"/>
      </rPr>
      <t>Si la réponse est "OUI" le montant n'entrera pas dans l'assiette de calcul de l'OCS 20% dans l'onglet "5-Tx forf personnel+autoconst"</t>
    </r>
  </si>
  <si>
    <t>(quantité, poids etc. prévu correspondant à la dépense.
Présenter des devis comparatifs se basant sur la même quantité, le même poids etc. de référence)</t>
  </si>
  <si>
    <t>(unité dans laquelle s'exprime la quantité relative à la dépense)</t>
  </si>
  <si>
    <t>(se référer au nombre de pièces exigées en fonction du montant de la dépense prévisionnelle)</t>
  </si>
  <si>
    <r>
      <t xml:space="preserve">(nom de l'entreprise, de la structure émettrice du devis ou du justificatif de la dépense </t>
    </r>
    <r>
      <rPr>
        <i/>
        <u/>
        <sz val="11"/>
        <rFont val="Calibri"/>
        <family val="2"/>
        <scheme val="minor"/>
      </rPr>
      <t>retenue</t>
    </r>
    <r>
      <rPr>
        <i/>
        <sz val="11"/>
        <rFont val="Calibri"/>
        <family val="2"/>
        <scheme val="minor"/>
      </rPr>
      <t>)</t>
    </r>
  </si>
  <si>
    <t>(information présente sur le justificatif joint.
Ex: numéro de devis, date de la capture d'écran, numéro de lot si marché public...)</t>
  </si>
  <si>
    <t>(montant hors taxes du devis, en euros)</t>
  </si>
  <si>
    <r>
      <t xml:space="preserve">(renseigner la TVA applicable en euros, uniquement si non déduite ou non compensée, </t>
    </r>
    <r>
      <rPr>
        <i/>
        <sz val="11"/>
        <color rgb="FFFF0000"/>
        <rFont val="Calibri"/>
        <family val="2"/>
        <scheme val="minor"/>
      </rPr>
      <t>sinon renseigner "0"</t>
    </r>
    <r>
      <rPr>
        <i/>
        <sz val="11"/>
        <rFont val="Calibri"/>
        <family val="2"/>
        <scheme val="minor"/>
      </rPr>
      <t>. Une attestation d’absence de récupération de la TVA est alors à fournir en appui de la demande d’aide.)</t>
    </r>
  </si>
  <si>
    <r>
      <t>(saisie automatique.</t>
    </r>
    <r>
      <rPr>
        <i/>
        <sz val="11"/>
        <color rgb="FFFF0000"/>
        <rFont val="Calibri"/>
        <family val="2"/>
        <scheme val="minor"/>
      </rPr>
      <t xml:space="preserve"> Si les montants sont présentés HT veuillez saisir "0" dans la colonne "Montant TVA"</t>
    </r>
    <r>
      <rPr>
        <i/>
        <sz val="11"/>
        <rFont val="Calibri"/>
        <family val="2"/>
        <scheme val="minor"/>
      </rPr>
      <t>)</t>
    </r>
  </si>
  <si>
    <t>(nom de l'entreprise, de la structure émettrice du devis ou du justificatif de la dépense)</t>
  </si>
  <si>
    <t>(montant hors taxes du devis opposable en euros)</t>
  </si>
  <si>
    <r>
      <t xml:space="preserve">(saisie automatique. </t>
    </r>
    <r>
      <rPr>
        <i/>
        <sz val="11"/>
        <color rgb="FFFF0000"/>
        <rFont val="Calibri"/>
        <family val="2"/>
        <scheme val="minor"/>
      </rPr>
      <t>Si les montants sont présentés HT veuillez saisir "0" dans la colonne "Montant TVA"</t>
    </r>
    <r>
      <rPr>
        <i/>
        <sz val="11"/>
        <rFont val="Calibri"/>
        <family val="2"/>
        <scheme val="minor"/>
      </rPr>
      <t>)</t>
    </r>
  </si>
  <si>
    <t>(à choisir dans le menu déroulant)</t>
  </si>
  <si>
    <t>(saisie automatique)</t>
  </si>
  <si>
    <t>(le cas échéant, pour préciser un point saillant au Service Instructeur)</t>
  </si>
  <si>
    <t>(report automatique de la demande. Corriger les informations des cellules selon les modalités d'instruction)</t>
  </si>
  <si>
    <r>
      <t xml:space="preserve">(report automatique de la demande. Corriger les informations des cellules selon les modalités d'instruction)
</t>
    </r>
    <r>
      <rPr>
        <b/>
        <i/>
        <sz val="11"/>
        <color rgb="FFFF0000"/>
        <rFont val="Calibri"/>
        <family val="2"/>
        <scheme val="minor"/>
      </rPr>
      <t>Si oui, contrôler l'onglet "Liste MP"</t>
    </r>
  </si>
  <si>
    <t>(le cas échéant:
demande de dérogation pour absence de devis opposable, ou note justificative du choix du devis le plus cher jointe)</t>
  </si>
  <si>
    <t>(saisie automatique à corriger selon les modalités d'instruction)</t>
  </si>
  <si>
    <r>
      <t xml:space="preserve">(saisie automatique à corriger selon les modalités d'instruction)
</t>
    </r>
    <r>
      <rPr>
        <b/>
        <i/>
        <sz val="11"/>
        <color rgb="FFFF0000"/>
        <rFont val="Calibri"/>
        <family val="2"/>
        <scheme val="minor"/>
      </rPr>
      <t>En cas d'irrégularité liée à un marché public, déduire l'irrégularité du montant éligible</t>
    </r>
  </si>
  <si>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caractère raisonnable non avéré…)</t>
  </si>
  <si>
    <t>(vérification automatique de cohérence entre le montant éligible retenu et le coût raisonnable calculé.
En cas d'anomalie, corriger le montant incohérent ou justifier le choix d'instruction.)</t>
  </si>
  <si>
    <t>(vérification automatique de cohérence entre les montants présentés et ceux retenus.
En cas d'anomalie, corriger le montant incohérent ou justifier le choix d'instruction.)</t>
  </si>
  <si>
    <t>Chaînage carré</t>
  </si>
  <si>
    <t>Non</t>
  </si>
  <si>
    <t xml:space="preserve">Pas de marché public </t>
  </si>
  <si>
    <t>Non concerné</t>
  </si>
  <si>
    <t>mètre</t>
  </si>
  <si>
    <t>Fer Plus</t>
  </si>
  <si>
    <t>D230115102</t>
  </si>
  <si>
    <t xml:space="preserve">Agri Plus </t>
  </si>
  <si>
    <t>D56677777</t>
  </si>
  <si>
    <t>Devis 1</t>
  </si>
  <si>
    <t>OUI</t>
  </si>
  <si>
    <t>Total présenté</t>
  </si>
  <si>
    <t>Total retenu</t>
  </si>
  <si>
    <r>
      <t xml:space="preserve">Partie à remplir par le bénéficiaire - Présentation des dépenses de frais généraux
</t>
    </r>
    <r>
      <rPr>
        <b/>
        <sz val="20"/>
        <color rgb="FFFF0000"/>
        <rFont val="Calibri"/>
        <family val="2"/>
        <scheme val="minor"/>
      </rPr>
      <t>La dépense de diagnostic énergie-gaz à effet de serre de l’exploitation ou de l'entreprise est plafonnée à 1 500 € HT</t>
    </r>
    <r>
      <rPr>
        <b/>
        <sz val="20"/>
        <color theme="1"/>
        <rFont val="Calibri"/>
        <family val="2"/>
        <scheme val="minor"/>
      </rPr>
      <t xml:space="preserve">
</t>
    </r>
    <r>
      <rPr>
        <b/>
        <sz val="20"/>
        <color rgb="FFFF0000"/>
        <rFont val="Calibri"/>
        <family val="2"/>
        <scheme val="minor"/>
      </rPr>
      <t>Les frais généraux ne sont pas mobilisables pour le type d'action "Plantations pérennes" pour la banane et la canne à sucre : ne mobiliser que les OCS de type coûts unitaires correspondants en onglets 6 et 7</t>
    </r>
  </si>
  <si>
    <r>
      <t xml:space="preserve">Partie réservée à l'administration - Instruction des frais généraux (selon les modalités définies dans la notice)
</t>
    </r>
    <r>
      <rPr>
        <b/>
        <sz val="20"/>
        <color rgb="FFFF0000"/>
        <rFont val="Calibri"/>
        <family val="2"/>
        <scheme val="minor"/>
      </rPr>
      <t>La dépense de diagnostic énergie-gaz à effet de serre de l’exploitation ou de l'entreprise est plafonnée à 1 500 € HT</t>
    </r>
    <r>
      <rPr>
        <b/>
        <sz val="20"/>
        <color theme="1"/>
        <rFont val="Calibri"/>
        <family val="2"/>
        <scheme val="minor"/>
      </rPr>
      <t xml:space="preserve">
Les frais généraux ne sont pas mobilisables pour le type d'action "Plantations pérennes" pour la banane et la canne à sucre : ne mobiliser que les OCS de type coûts unitaires correspondants en onglets 6 et 7</t>
    </r>
  </si>
  <si>
    <t>Montant éligibleTTC</t>
  </si>
  <si>
    <t>Type de dépense (études préalabes à la réalisation d'un investissement matériel, diagnostics, assistance à maitrise d'ouvrage, honoraires de consultants…)</t>
  </si>
  <si>
    <t xml:space="preserve">(Si la dépense est affectée partiellement à l'opération, préciser le taux de proratisation retenu ex: 50%. 
Si la dépense est intégralement liée à l'opération, préciser 100%) </t>
  </si>
  <si>
    <r>
      <t xml:space="preserve">(le cas échéant, pour préciser un point saillant au Service Instructeur)
</t>
    </r>
    <r>
      <rPr>
        <i/>
        <sz val="11"/>
        <color rgb="FFFF0000"/>
        <rFont val="Calibri"/>
        <family val="2"/>
        <scheme val="minor"/>
      </rPr>
      <t>Précisez la nature de la plantation pérenne concernée par la ligne de dépense le cas échéant</t>
    </r>
  </si>
  <si>
    <t>b</t>
  </si>
  <si>
    <r>
      <t xml:space="preserve">(une observation est à apporter par le Service Instructeur pour toute correction apportée et/ou toute révision de la dépense lors de la phase d'instruction.
Ex: plafonnement du montant des frais généraux au regard des dispositions de la fiche action, motif d'inéligibilité, révision du poste de dépense, correction du numéro de devis, absence de devis opposable, caractère raisonnable non avéré…)
</t>
    </r>
    <r>
      <rPr>
        <i/>
        <sz val="11"/>
        <color rgb="FFFF0000"/>
        <rFont val="Calibri"/>
        <family val="2"/>
        <scheme val="minor"/>
      </rPr>
      <t>Préciser s'il y a eu plafonnement des dépenses de diagnostic énergie-gaz à effet de serre à 1 500 € HT</t>
    </r>
  </si>
  <si>
    <t>Etude de faisabilité</t>
  </si>
  <si>
    <t>euro</t>
  </si>
  <si>
    <t>Pas de marché public</t>
  </si>
  <si>
    <t>EkoXpertise</t>
  </si>
  <si>
    <t>F558115102</t>
  </si>
  <si>
    <t xml:space="preserve">GUAConseil </t>
  </si>
  <si>
    <t>D72892929</t>
  </si>
  <si>
    <t>Oui</t>
  </si>
  <si>
    <r>
      <t xml:space="preserve">Partie à remplir par le bénéficiaire - Présentation des dépenses de contributions en nature
</t>
    </r>
    <r>
      <rPr>
        <b/>
        <sz val="20"/>
        <color rgb="FFFF0000"/>
        <rFont val="Calibri"/>
        <family val="2"/>
        <scheme val="minor"/>
      </rPr>
      <t>Attention, les frais couverts par l'OCS 20% et les coûts unitaires pour la banane et la canne à sucre ne doivent pas être présentés dans cet onglet sous la forme de contributions en nature</t>
    </r>
  </si>
  <si>
    <r>
      <t xml:space="preserve">Partie réservée à l'administration - Instruction des contributions en nature
</t>
    </r>
    <r>
      <rPr>
        <b/>
        <sz val="20"/>
        <color rgb="FFFF0000"/>
        <rFont val="Calibri"/>
        <family val="2"/>
        <scheme val="minor"/>
      </rPr>
      <t>Attention, les frais couverts par l'OCS 20% et les coûts unitaires pour la banane et la canne à sucre ne doivent pas être présentés dans cet onglet sous la forme de contributions en nature</t>
    </r>
  </si>
  <si>
    <t>Description de la contribution en nature</t>
  </si>
  <si>
    <t>Taux d'affectation à l'opération
(%)</t>
  </si>
  <si>
    <t>Justificatif d'affectation à l'opération</t>
  </si>
  <si>
    <t>Valeur de la contribution</t>
  </si>
  <si>
    <t>Justificatif de la valeur de la contribution</t>
  </si>
  <si>
    <t>Montant présenté</t>
  </si>
  <si>
    <t>Justificatif(s) approprié(s) joint(s) ?</t>
  </si>
  <si>
    <t>Montant éligible</t>
  </si>
  <si>
    <t>Montant écarté</t>
  </si>
  <si>
    <t xml:space="preserve">Type de dépense </t>
  </si>
  <si>
    <t>(reprendre les types d'actions choisis tel que rempli dans l'onglet 0-Presentation poste-typeaction)</t>
  </si>
  <si>
    <t>(nature de la contribution apportée à l'opération.
Ex: terrain, bien immeuble, équipement…)</t>
  </si>
  <si>
    <t>(si la dépense est affectée partiellement à l'opération, préciser le taux de proratisation retenu ex: 50% ; si la dépense est intégralement liée à l'opération préciser 100%)</t>
  </si>
  <si>
    <t>(ex: attestation d’affectation du bien à l’opération…)</t>
  </si>
  <si>
    <t>(montant unitaire de la contribution en nature applicable en euro)</t>
  </si>
  <si>
    <t>(pour les terrains et biens immeubles: certificat d’un expert indépendant qualifié;
pour les services, biens d’équipement ou de matières premières: prix catalogue, devis, etc.)</t>
  </si>
  <si>
    <t>taux d'affectation à l'opération x Valeur de la contribution</t>
  </si>
  <si>
    <t>Oui / Non / Sans objet</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</si>
  <si>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</si>
  <si>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Hangar</t>
  </si>
  <si>
    <t>Attestation d'affectation du bien à l'opération</t>
  </si>
  <si>
    <t>Estimation de la valeur locative du bien par un expert indépendant habilité</t>
  </si>
  <si>
    <t>Partie à remplir par le bénéficiaire - Présentation des dépenses d'amortissement</t>
  </si>
  <si>
    <t>Partie réservée à l'administration - Instruction des dépenses d'amortissement</t>
  </si>
  <si>
    <t>Description du bien amortissable</t>
  </si>
  <si>
    <t>Type de bien</t>
  </si>
  <si>
    <t>Lien avec l’opération</t>
  </si>
  <si>
    <t>Taux d'affectation à l'opération sur la durée présentée</t>
  </si>
  <si>
    <t>Justificatif de la valeur du bien amorti</t>
  </si>
  <si>
    <t>Durée de l'opération</t>
  </si>
  <si>
    <t>Date de début d’amortissement</t>
  </si>
  <si>
    <t>Durée totale de l’amortissement</t>
  </si>
  <si>
    <t>Durée d’amortissement présentée EN JOURS</t>
  </si>
  <si>
    <t>Durée d’amortissement présentée EN ANNÉES</t>
  </si>
  <si>
    <t>Coût total de l'amortissement</t>
  </si>
  <si>
    <t>Montant de la charge d'amortissement présentée</t>
  </si>
  <si>
    <t>Justificatif de la modalité d'amortissement</t>
  </si>
  <si>
    <t xml:space="preserve">Coût total de l’amortissement </t>
  </si>
  <si>
    <t>Montant de la charge d'amortissement éligible</t>
  </si>
  <si>
    <t>(nature du bien)</t>
  </si>
  <si>
    <t>(neuf / occasion)</t>
  </si>
  <si>
    <t>(préciser le lien entre la dépense amortie et l'opération, et son caractère nécessaire)</t>
  </si>
  <si>
    <t>(évaluation de la valeur du bien par un expert indépendat)</t>
  </si>
  <si>
    <t>en année(s)</t>
  </si>
  <si>
    <t>(jj/mm/aaaa)</t>
  </si>
  <si>
    <t>(cette durée ne doit pas être supérieure à la durée de l'opération)</t>
  </si>
  <si>
    <t xml:space="preserve">
(saisie automatique)
</t>
  </si>
  <si>
    <t>(montant de la charge d'amortissement pour la durée totale d'amortissement du matériel)</t>
  </si>
  <si>
    <t>[(coût total de l'amortissement / durée totale de l'amortissement) x durée d'amortissement présentée ] x taux d'affectation à l'opération</t>
  </si>
  <si>
    <t>(plan d'amortissement prévisionnel, attestation sur l’honneur du bénéficiaire qui atteste que le bien amorti n’a pas fait l’objet de subventions publiques, etc.)</t>
  </si>
  <si>
    <r>
      <t xml:space="preserve">Dépenses couvertes par application d'une option de coûts simplifiés (OCS) - taux forfaitaire de 20% des dépenses directes de l’opération pour couvrir les éventuelles dépenses de personnel et d’auto-construction.
</t>
    </r>
    <r>
      <rPr>
        <b/>
        <sz val="20"/>
        <color rgb="FFFF0000"/>
        <rFont val="Calibri"/>
        <family val="2"/>
        <scheme val="minor"/>
      </rPr>
      <t>Pour le type d'action "Plantations pérennes" pour la banane et la canne à sucre : ne mobiliser que les OCS de type coûts unitaires correspondants en onglets 6 et 7</t>
    </r>
  </si>
  <si>
    <t>Dépenses couvertes par application d'une option de coûts simplifiés (OCS) - taux forfaitaire de 20% des dépenses directes de l’opération pour couvrir les éventuelles dépenses de personnel et d’auto-construction.
Pour le type d'action "Plantations pérennes" pour la banane et la canne à sucre : ne mobiliser que les OCS de type coûts unitaires correspondants en onglets 6 et 7</t>
  </si>
  <si>
    <t>Partie à remplir par le bénéficiaire - Présentation des dépenses de personnel et d'autoconstruction prises en compte par application d'un taux forfaitaire</t>
  </si>
  <si>
    <t>Partie réservée à l'administration - Instruction des dépenses de personnel et d'autoconstruction prises en compte par application d'un taux forfaitaire</t>
  </si>
  <si>
    <t>Montant des dépenses présentées servant de base de calcul</t>
  </si>
  <si>
    <t>À titre informatif, montant de l'OCS calculé sur la base des dépenses présentées et par application du taux de 20%</t>
  </si>
  <si>
    <t>Souhaitez-vous bénéficier du taux forfaitaire de 20% des dépenses directes de l’opération pour couvrir des dépenses de personnel et/ou d’auto-construction?</t>
  </si>
  <si>
    <t xml:space="preserve">Montant de l'OCS sollicitée par le porteur </t>
  </si>
  <si>
    <t>Commentaire(s)</t>
  </si>
  <si>
    <t>Montant des dépenses retenues servant de base de calcul</t>
  </si>
  <si>
    <t>À titre informatif, montant de l'OCS calculé sur la base des dépenses retenues et par application du taux de 20%</t>
  </si>
  <si>
    <t>Sélection de l'OCS</t>
  </si>
  <si>
    <t>Montant de l'OCS éligible</t>
  </si>
  <si>
    <t>(nom du type d'action)</t>
  </si>
  <si>
    <t>(saisie automatique sur la base des informations déclarées dans les onglets précédents)</t>
  </si>
  <si>
    <t>(saisie automatique, par application du taux forfaitaire de 20% des investissements, des frais généraux, des amortissements et des contributions en nature afin de couvrir les frais de personnel directs  et des frais d'autoconstruction)</t>
  </si>
  <si>
    <r>
      <rPr>
        <i/>
        <sz val="11"/>
        <color rgb="FF000000"/>
        <rFont val="Calibri"/>
        <family val="2"/>
        <scheme val="minor"/>
      </rPr>
      <t xml:space="preserve">sélectionner Oui ou Non dans la liste déroulante ;
</t>
    </r>
    <r>
      <rPr>
        <i/>
        <sz val="11"/>
        <color rgb="FFFF0000"/>
        <rFont val="Calibri"/>
        <family val="2"/>
        <scheme val="minor"/>
      </rPr>
      <t>si l'opération mobilise des frais de personnel et/ou d'autoconstruction sélectionner "Oui" et justifier le caractère nécessaire des frais couverts par l'OCS dans une note rattachée au plan de financement</t>
    </r>
  </si>
  <si>
    <t>(saisie automatique en fonction de si l'OCS a été sélectionnée)</t>
  </si>
  <si>
    <r>
      <t xml:space="preserve">(toute précision pertinente le cas échéant pour la compréhension de l'action prévue...)
</t>
    </r>
    <r>
      <rPr>
        <i/>
        <sz val="11"/>
        <color rgb="FFFF0000"/>
        <rFont val="Calibri"/>
        <family val="2"/>
        <scheme val="minor"/>
      </rPr>
      <t>Précisez la nature de la plantation pérenne concernée par la ligne de dépense le cas échéant</t>
    </r>
  </si>
  <si>
    <t>Diversification des activités - gîtes</t>
  </si>
  <si>
    <t>Diversification des activités - hors gîtes</t>
  </si>
  <si>
    <t>Partie à remplir par le bénéficiaire - Présentation des dépenses de coût unitaire pour la plantation pérenne "banane"</t>
  </si>
  <si>
    <t>Partie réservée à l'administration - Instruction des dépenses de coût unitaire pour la plantation pérenne "banane"</t>
  </si>
  <si>
    <t>Numéro du conseil</t>
  </si>
  <si>
    <t>Surface</t>
  </si>
  <si>
    <t>Présence d'un amendement organique</t>
  </si>
  <si>
    <t>Coût unitaire total en €</t>
  </si>
  <si>
    <t>Commentaire</t>
  </si>
  <si>
    <t>Coût unitaire total éligible en €</t>
  </si>
  <si>
    <t>(en ha)</t>
  </si>
  <si>
    <t>(Répondre OUI ou NON dans le menu déroulant)</t>
  </si>
  <si>
    <r>
      <t xml:space="preserve">(Montant en €)
</t>
    </r>
    <r>
      <rPr>
        <i/>
        <sz val="11"/>
        <color rgb="FFFF0000"/>
        <rFont val="Calibri"/>
        <family val="2"/>
        <scheme val="minor"/>
      </rPr>
      <t>Montant prévisionnel calculé sur la base d'une densité de plantation supérieure ou égale à 1 850 plants/ha</t>
    </r>
    <r>
      <rPr>
        <i/>
        <sz val="11"/>
        <rFont val="Calibri"/>
        <family val="2"/>
        <scheme val="minor"/>
      </rPr>
      <t xml:space="preserve">
</t>
    </r>
    <r>
      <rPr>
        <i/>
        <sz val="11"/>
        <color rgb="FFFF0000"/>
        <rFont val="Calibri"/>
        <family val="2"/>
        <scheme val="minor"/>
      </rPr>
      <t>En cas de densité de plantation inférieure au moment de la réalisation, le montant sera proratisé à la demande de paiement</t>
    </r>
  </si>
  <si>
    <r>
      <t xml:space="preserve">(saisie automatique à corriger selon les modalités d'instruction)
</t>
    </r>
    <r>
      <rPr>
        <i/>
        <sz val="11"/>
        <color rgb="FFFF0000"/>
        <rFont val="Calibri"/>
        <family val="2"/>
        <scheme val="minor"/>
      </rPr>
      <t>Montant prévisionnel calculé sur la base d'une densité de plantation supérieure ou égale à 1 850 plants/ha
En cas de densité de plantation inférieure au moment de la réalisation, le montant sera proratisé à la demande de paiement</t>
    </r>
  </si>
  <si>
    <t>Total</t>
  </si>
  <si>
    <t>Partie à remplir par le bénéficiaire - Présentation des dépenses de coût unitaire pour la plantation pérenne "canne à sucre"</t>
  </si>
  <si>
    <t>Partie réservée à l'administration - Instruction des dépenses de coût unitaire pour la plantation pérenne "canne à sucre"</t>
  </si>
  <si>
    <t>La plantation est-elle à Marie-Galante ?</t>
  </si>
  <si>
    <t>La plantation est-elle à simple rang ou double rang ?</t>
  </si>
  <si>
    <t>(Répondre simple ou double dans le menu déroulant)</t>
  </si>
  <si>
    <r>
      <t xml:space="preserve">(Montant en €)
</t>
    </r>
    <r>
      <rPr>
        <i/>
        <sz val="11"/>
        <color rgb="FFFF0000"/>
        <rFont val="Calibri"/>
        <family val="2"/>
        <scheme val="minor"/>
      </rPr>
      <t>Montant prévisionnel calculé sur la base d'une densité de plantation supérieure ou égale à 8 tonnes/ha pour les plantations en simple rang et 15 tonnes/ha pour les plantations en double rang.
En cas de densité de plantation inférieure au moment de la réalisation, le montant sera proratisé à la demande de paiement</t>
    </r>
  </si>
  <si>
    <r>
      <t xml:space="preserve">(saisie automatique à corriger selon les modalités d'instruction)
</t>
    </r>
    <r>
      <rPr>
        <i/>
        <sz val="11"/>
        <color rgb="FFFF0000"/>
        <rFont val="Calibri"/>
        <family val="2"/>
        <scheme val="minor"/>
      </rPr>
      <t>Montant prévisionnel calculé sur la base d'une densité de plantation supérieure ou égale à 8 tonnes/ha pour les plantations en simple rang et 15 tonnes/ha pour les plantations en double rang.
En cas de densité de plantation inférieure au moment de la réalisation, le montant sera proratisé à la demande de paiement</t>
    </r>
  </si>
  <si>
    <t>Simple</t>
  </si>
  <si>
    <t>Partie à remplir par le bénéficiaire - liste des marchés publics relatifs aux dépenses du projet</t>
  </si>
  <si>
    <t>Partie réservée à l'administration  - liste des marchés publics relatifs aux dépenses du projet</t>
  </si>
  <si>
    <t>Nom du marché</t>
  </si>
  <si>
    <t xml:space="preserve">Pièces transmises de marchés </t>
  </si>
  <si>
    <t>Date du marché</t>
  </si>
  <si>
    <t xml:space="preserve">Montant HT du marché </t>
  </si>
  <si>
    <t>Le marché est-il lié à une dépense couverte par une OCS ?</t>
  </si>
  <si>
    <t>Irrégularité identifiée à la suite du contrôle de la cellule marchés publics</t>
  </si>
  <si>
    <t>Tableau récapitulatif des dépenses prévisionnelles de l'opération
(données à titre informatif ne valant ni promesse d'attribution de l'aide, ni contractualisation des montants indiqués)</t>
  </si>
  <si>
    <t>Montants</t>
  </si>
  <si>
    <t>Présentés</t>
  </si>
  <si>
    <t xml:space="preserve">Contrôles à titre informatifs (hors condition d'éligibilité du projet, les dépassements de plafond seront traités par le service instructeur le cas échéant) : </t>
  </si>
  <si>
    <t>Montant total HT</t>
  </si>
  <si>
    <t>Montant total TVA</t>
  </si>
  <si>
    <t>Total  TTC</t>
  </si>
  <si>
    <r>
      <t xml:space="preserve">Le total des dépenses prévisionnelles lié au type d'action "Plantations pérennes"  ne peut être </t>
    </r>
    <r>
      <rPr>
        <b/>
        <u/>
        <sz val="16"/>
        <color theme="1"/>
        <rFont val="Calibri"/>
        <family val="2"/>
        <scheme val="minor"/>
      </rPr>
      <t xml:space="preserve">inférieur </t>
    </r>
    <r>
      <rPr>
        <b/>
        <sz val="16"/>
        <color theme="1"/>
        <rFont val="Calibri"/>
        <family val="2"/>
        <scheme val="minor"/>
      </rPr>
      <t xml:space="preserve">à 5 000 € HT 
</t>
    </r>
    <r>
      <rPr>
        <b/>
        <sz val="16"/>
        <color rgb="FFFF0000"/>
        <rFont val="Calibri"/>
        <family val="2"/>
        <scheme val="minor"/>
      </rPr>
      <t>ATTENTION: Le respect de ce seuil est une condition d'éligibilité des dépenses liées à ce type d'action</t>
    </r>
  </si>
  <si>
    <r>
      <t>Le total des dépenses prévisionnelles lié aux type d'action autres que "Plantations pérennes"  ne peut pas être inférieur à</t>
    </r>
    <r>
      <rPr>
        <b/>
        <u/>
        <sz val="16"/>
        <color theme="1"/>
        <rFont val="Calibri"/>
        <family val="2"/>
        <scheme val="minor"/>
      </rPr>
      <t xml:space="preserve"> </t>
    </r>
    <r>
      <rPr>
        <b/>
        <sz val="16"/>
        <color theme="1"/>
        <rFont val="Calibri"/>
        <family val="2"/>
        <scheme val="minor"/>
      </rPr>
      <t xml:space="preserve"> 15 000 € HT 
</t>
    </r>
    <r>
      <rPr>
        <b/>
        <sz val="16"/>
        <color rgb="FFFF0000"/>
        <rFont val="Calibri"/>
        <family val="2"/>
        <scheme val="minor"/>
      </rPr>
      <t>ATTENTION: Le respect de ce seuil est une condition d'éligibilité des dépenses hors plantations pérennes</t>
    </r>
  </si>
  <si>
    <t>Ventilation des dépenses présentées par poste (avant application des règles d'intervention financières)</t>
  </si>
  <si>
    <t xml:space="preserve">Poste de dépenses </t>
  </si>
  <si>
    <t xml:space="preserve">Investissements comprennant les achats de terrain à des fins de protection de l’environnement et de préservation des sols riches en carbone, ou terrain pour de jeunes agriculteurs acquis au moyen d’instrument financier </t>
  </si>
  <si>
    <t xml:space="preserve">Achat de terrain hors achat à des fins de protection de l’environnement et de préservation des sols riches en carbone, ou terrain pour de jeunes agriculteurs acquis au moyen d’instrument financier </t>
  </si>
  <si>
    <t xml:space="preserve">Frais généraux </t>
  </si>
  <si>
    <t xml:space="preserve">Contributions en nature </t>
  </si>
  <si>
    <t>Amortissement</t>
  </si>
  <si>
    <r>
      <t xml:space="preserve">OCS mobilisée(s) </t>
    </r>
    <r>
      <rPr>
        <sz val="16"/>
        <color rgb="FFFF0000"/>
        <rFont val="Calibri"/>
        <family val="2"/>
      </rPr>
      <t>(le taux forfaitaire de 20% pour les frais de personnel et d'autoconstruction ne peut pas être mobilisé sur le type d'action "Plantation pérenne" pour la canne à sucre et la banane) :</t>
    </r>
  </si>
  <si>
    <r>
      <t xml:space="preserve">Le total des dépenses prévisionnelles de la demande d’aide ne peut pas </t>
    </r>
    <r>
      <rPr>
        <b/>
        <u/>
        <sz val="16"/>
        <color rgb="FF000000"/>
        <rFont val="Calibri"/>
        <family val="2"/>
        <scheme val="minor"/>
      </rPr>
      <t>dépasser</t>
    </r>
    <r>
      <rPr>
        <b/>
        <sz val="16"/>
        <color rgb="FF000000"/>
        <rFont val="Calibri"/>
        <family val="2"/>
        <scheme val="minor"/>
      </rPr>
      <t xml:space="preserve"> 4 500 000 € HT
</t>
    </r>
    <r>
      <rPr>
        <b/>
        <sz val="16"/>
        <color rgb="FFFF0000"/>
        <rFont val="Calibri"/>
        <family val="2"/>
        <scheme val="minor"/>
      </rPr>
      <t>ATTENTION : Le respect de cette règle est une condition d'éligibilité du projet dans sa totalité</t>
    </r>
  </si>
  <si>
    <t>Taux forfaitaire personnel + autoconstruction</t>
  </si>
  <si>
    <t>Coût unitaire bananes</t>
  </si>
  <si>
    <t>Coût unitaire cannes à sucre</t>
  </si>
  <si>
    <r>
      <t xml:space="preserve">Le total des dépenses prévisionnelles lié au type d'action "Diversification des activités - gîtes ruraux" ne peut </t>
    </r>
    <r>
      <rPr>
        <b/>
        <u/>
        <sz val="16"/>
        <color rgb="FF000000"/>
        <rFont val="Calibri"/>
        <family val="2"/>
        <scheme val="minor"/>
      </rPr>
      <t xml:space="preserve">dépasser </t>
    </r>
    <r>
      <rPr>
        <b/>
        <sz val="16"/>
        <color rgb="FF000000"/>
        <rFont val="Calibri"/>
        <family val="2"/>
        <scheme val="minor"/>
      </rPr>
      <t xml:space="preserve">500 000 € HT
</t>
    </r>
    <r>
      <rPr>
        <b/>
        <sz val="16"/>
        <color rgb="FFFF0000"/>
        <rFont val="Calibri"/>
        <family val="2"/>
        <scheme val="minor"/>
      </rPr>
      <t>ATTENTION: Le respect de cette règle est une condition d'éligibilité des dépenses liées à ce type d'action</t>
    </r>
  </si>
  <si>
    <t xml:space="preserve">Montant présenté </t>
  </si>
  <si>
    <r>
      <t xml:space="preserve">Le total des dépenses prévisionnelles lié au type d'action "Diversification des activités - hors gîtes ruraux" ne peut </t>
    </r>
    <r>
      <rPr>
        <b/>
        <u/>
        <sz val="16"/>
        <color rgb="FF000000"/>
        <rFont val="Calibri"/>
        <family val="2"/>
        <scheme val="minor"/>
      </rPr>
      <t xml:space="preserve">dépasser </t>
    </r>
    <r>
      <rPr>
        <b/>
        <sz val="16"/>
        <color rgb="FF000000"/>
        <rFont val="Calibri"/>
        <family val="2"/>
        <scheme val="minor"/>
      </rPr>
      <t xml:space="preserve">250 000 € HT
</t>
    </r>
    <r>
      <rPr>
        <b/>
        <sz val="16"/>
        <color rgb="FFFF0000"/>
        <rFont val="Calibri"/>
        <family val="2"/>
        <scheme val="minor"/>
      </rPr>
      <t>ATTENTION: Le respect de cette règle est une condition d'éligibilité des dépenses liées à ce type d'action</t>
    </r>
  </si>
  <si>
    <t>Total présenté avant RIF</t>
  </si>
  <si>
    <t xml:space="preserve">La règle de non-profit est-elle respectée ? 
Cette règle signifie que la somme des financements pour l'opération présentée ne dépasse pas le coût total de cette dernière. </t>
  </si>
  <si>
    <r>
      <t>Plafond pour respecter le non-profit</t>
    </r>
    <r>
      <rPr>
        <b/>
        <sz val="18"/>
        <color rgb="FFFF0000"/>
        <rFont val="Calibri"/>
        <family val="2"/>
        <scheme val="minor"/>
      </rPr>
      <t xml:space="preserve">
Montant des contributions en nature + cofinancement privé &lt; ou = (Montant des dépenses éligibles retenues - Montant d'aide calculé avec TMAP)</t>
    </r>
  </si>
  <si>
    <r>
      <t xml:space="preserve">COMPLÉTER LES INFORMATIONS LIEES A D'AUTRES EVENTUELS FINANCEURS 
</t>
    </r>
    <r>
      <rPr>
        <sz val="20"/>
        <color theme="1"/>
        <rFont val="Calibri"/>
        <family val="2"/>
        <scheme val="minor"/>
      </rPr>
      <t xml:space="preserve">Compléter les cellules blanches ci-dessous. Le cas échéant, ajouter autant de lignes que de financeurs publics ou privés existants. 
</t>
    </r>
    <r>
      <rPr>
        <i/>
        <sz val="20"/>
        <color theme="1"/>
        <rFont val="Calibri"/>
        <family val="2"/>
        <scheme val="minor"/>
      </rPr>
      <t>(Attention, si le périmètre du projet financé est différent de celui du FEADER un échange avec le service instructeur est nécessaire avant validation de la demande d'aide)</t>
    </r>
  </si>
  <si>
    <r>
      <t xml:space="preserve">SAISIR SUR EUROPAC
</t>
    </r>
    <r>
      <rPr>
        <sz val="20"/>
        <color theme="0"/>
        <rFont val="Calibri"/>
        <family val="2"/>
        <scheme val="minor"/>
      </rPr>
      <t>Reportez les informations financières ci-dessous dans l'onglet « Dépenses prévisionnelles » de Europac</t>
    </r>
  </si>
  <si>
    <r>
      <t xml:space="preserve">Montant du financeur </t>
    </r>
    <r>
      <rPr>
        <b/>
        <u/>
        <sz val="16"/>
        <color rgb="FFFF0000"/>
        <rFont val="Calibri"/>
        <family val="2"/>
        <scheme val="minor"/>
      </rPr>
      <t xml:space="preserve">public </t>
    </r>
    <r>
      <rPr>
        <b/>
        <sz val="16"/>
        <rFont val="Calibri"/>
        <family val="2"/>
        <scheme val="minor"/>
      </rPr>
      <t>autre que FEADER/Région, le cas échéant</t>
    </r>
  </si>
  <si>
    <t>Identité du/des financeur(s) public(s) autre(s) que FEADER/Région, justificatif présenté</t>
  </si>
  <si>
    <t>Le financement public autre que FEADER/Région est-il obtenu en date du dépôt de la demande d'aide ?</t>
  </si>
  <si>
    <r>
      <t xml:space="preserve">Montant du financeur </t>
    </r>
    <r>
      <rPr>
        <b/>
        <u/>
        <sz val="16"/>
        <color rgb="FFFF0000"/>
        <rFont val="Calibri"/>
        <family val="2"/>
        <scheme val="minor"/>
      </rPr>
      <t>privé</t>
    </r>
    <r>
      <rPr>
        <b/>
        <u/>
        <sz val="16"/>
        <rFont val="Calibri"/>
        <family val="2"/>
        <scheme val="minor"/>
      </rPr>
      <t>,</t>
    </r>
    <r>
      <rPr>
        <b/>
        <sz val="16"/>
        <rFont val="Calibri"/>
        <family val="2"/>
        <scheme val="minor"/>
      </rPr>
      <t xml:space="preserve"> le cas échéant</t>
    </r>
  </si>
  <si>
    <t>Identité du/des financeur(s) privé(s)</t>
  </si>
  <si>
    <t>Le financement privé est-il obtenu en date du dépôt de la demande d'aide ?</t>
  </si>
  <si>
    <t>Total général = coût global du projet</t>
  </si>
  <si>
    <t>Total des ressources prévisionnelles</t>
  </si>
  <si>
    <t>Pour les opérations bénéficiant d'une autre aide publique que les aides FEADER et Région comme par exemple des financements de l'Etat ou des EPCI, saisir ce montant.</t>
  </si>
  <si>
    <t>Pour les opérations bénéficiant d'une aide venant d'un organisme privé, par exemple des donations ou du mécénat, saisir ce montant</t>
  </si>
  <si>
    <t>Montant d'aide publique nationale : Financement public hors PSR (FEADER)</t>
  </si>
  <si>
    <t>Montant des financeurs privés</t>
  </si>
  <si>
    <t>Montant FEADER</t>
  </si>
  <si>
    <t>Cofinanceur privé externe 1</t>
  </si>
  <si>
    <t>Région</t>
  </si>
  <si>
    <t>Cofinanceur privé externe 2</t>
  </si>
  <si>
    <t>Autre cofinanceur public que région 1 (à préciser)</t>
  </si>
  <si>
    <t>Cofinanceur privé externe 3</t>
  </si>
  <si>
    <t>Autre cofinanceur public que région 2 (à préciser)</t>
  </si>
  <si>
    <t>Apport du porteur de projet (autofinancement et emprunt)</t>
  </si>
  <si>
    <t>Autre cofinanceur public que région 3 (à préciser)</t>
  </si>
  <si>
    <t>Synthèse de l'opération présentée par  type d'action</t>
  </si>
  <si>
    <r>
      <rPr>
        <b/>
        <sz val="20"/>
        <color theme="1"/>
        <rFont val="Calibri"/>
        <family val="2"/>
        <scheme val="minor"/>
      </rPr>
      <t>Détail des montants prévisionnels d'aide par type d'action</t>
    </r>
    <r>
      <rPr>
        <sz val="11"/>
        <color theme="1"/>
        <rFont val="Calibri"/>
        <family val="2"/>
        <scheme val="minor"/>
      </rPr>
      <t xml:space="preserve">
</t>
    </r>
    <r>
      <rPr>
        <sz val="14"/>
        <color theme="1"/>
        <rFont val="Calibri"/>
        <family val="2"/>
        <scheme val="minor"/>
      </rPr>
      <t>(données à titre informatif ne valant ni promesse d'attribution de l'aide, ni contractualisation des montants indiqués)</t>
    </r>
  </si>
  <si>
    <t xml:space="preserve">Dépenses présentées calculées après application du seuil </t>
  </si>
  <si>
    <t>Part du type d'action sur le total des dépenses présentées (en %)</t>
  </si>
  <si>
    <t>Taux d'Aide Publique (TAP) réglementaire du dispositif, équivalent au Taux Maximum d'Aide Publique (TMAP) le cas échéant avant contrôle de la règle de non-profit</t>
  </si>
  <si>
    <r>
      <t xml:space="preserve">Montant d'aide publique </t>
    </r>
    <r>
      <rPr>
        <b/>
        <sz val="16"/>
        <color rgb="FFFF0000"/>
        <rFont val="Calibri (Corps)"/>
      </rPr>
      <t>avant</t>
    </r>
    <r>
      <rPr>
        <b/>
        <sz val="16"/>
        <rFont val="Calibri (Corps)"/>
      </rPr>
      <t xml:space="preserve"> contrôle de la règle de non-profit</t>
    </r>
  </si>
  <si>
    <t>Part du type d'action sur le total du montant d'aide publique avant contrôle de la règle de non-profit (en %)</t>
  </si>
  <si>
    <r>
      <t xml:space="preserve">Montant d'aide publique </t>
    </r>
    <r>
      <rPr>
        <b/>
        <sz val="16"/>
        <color rgb="FFFF0000"/>
        <rFont val="Calibri (Corps)"/>
      </rPr>
      <t>après</t>
    </r>
    <r>
      <rPr>
        <b/>
        <sz val="16"/>
        <rFont val="Calibri (Corps)"/>
      </rPr>
      <t xml:space="preserve"> contrôle de la règle de non-profit</t>
    </r>
  </si>
  <si>
    <r>
      <t xml:space="preserve">Taux d'Aide Publique (TAP) réglementaire du dispositif, </t>
    </r>
    <r>
      <rPr>
        <b/>
        <sz val="16"/>
        <color rgb="FFFF0000"/>
        <rFont val="Calibri (Corps)"/>
      </rPr>
      <t>après</t>
    </r>
    <r>
      <rPr>
        <b/>
        <sz val="16"/>
        <rFont val="Calibri (Corps)"/>
      </rPr>
      <t xml:space="preserve"> contrôle de la règle de non-profit</t>
    </r>
  </si>
  <si>
    <t>Le montant du financeur public autre que FEADER/Région prend-il en charge toute la part nationale?</t>
  </si>
  <si>
    <t>Montant d'aide FEADER à solliciter</t>
  </si>
  <si>
    <t>Taux de co-financement FEADER</t>
  </si>
  <si>
    <t>Taux de co-financement de la part nationale</t>
  </si>
  <si>
    <t>Montant de la part nationale</t>
  </si>
  <si>
    <t>Montant du financeur public autre que FEADER/Région dans la part nationale</t>
  </si>
  <si>
    <t>Montant du financement Région</t>
  </si>
  <si>
    <t>Montant du top-up le cas échéant</t>
  </si>
  <si>
    <t>Montant de la contribution en nature</t>
  </si>
  <si>
    <t>Montant de l'apport (hors contribution en nature et du financement externe d'origine privée)</t>
  </si>
  <si>
    <t>% de l'apport (hors contribution en nature et du financement externe d'origine privée)</t>
  </si>
  <si>
    <t xml:space="preserve">Après applications des éventuels seuils et plafonds applicables calculés ci-dessus
Les autres plafonnements  auront lieu à l'instruction le cas échéant </t>
  </si>
  <si>
    <r>
      <rPr>
        <b/>
        <i/>
        <sz val="10"/>
        <color rgb="FFFF0000"/>
        <rFont val="Calibri"/>
        <family val="2"/>
        <scheme val="minor"/>
      </rPr>
      <t xml:space="preserve">Saisir dans cette colonne le TAP applicable à chaque type d'action.
</t>
    </r>
    <r>
      <rPr>
        <b/>
        <i/>
        <sz val="10"/>
        <color rgb="FF000000"/>
        <rFont val="Calibri"/>
        <family val="2"/>
        <scheme val="minor"/>
      </rPr>
      <t>Par exemple:
Le taux d’aide publique est de 80% pour :
- Les jeunes agriculteurs
- Les agriculteurs ou un groupement d’agriculteurs portant un projet collectif
- Les agriculteurs en production agriculture biologique certifiée ou en conversion vers l’AB
- Les collectivités locales ou leur groupement
- Les Etablissements publics
- Les Associations syndicales autorisées (ASA)
- Les Groupements fonciers agricoles (GFA)
Pour les bénéficiaires ou les opérations ne respectant pas les critères cités ci-dessus, le taux d’aide publique est de :
- 65 % pour les entreprises de travaux agricoles
- 75% pour les autres bénéficiaires
Cas spécifique pour l’irrigation (art 74 Règlement UE 2021/2115) :
a) 80 % des coûts éligibles pour les investissements en matière d’irrigation dans les exploitations agricoles réalisés au titre du paragraphe 4 de l’article 74 du Règlement UE 2021/2115) ;
b) 100 % des coûts éligibles pour les investissements dans les infrastructures en dehors des exploitations agricoles devant être utilisées pour l’irrigation ;
c) 65 % des coûts éligibles pour d’autres investissements en matière d’irrigation réalisés dans les exploitations agricoles
Régime d'aide général applicable : SA.60282
Régime de la Transformation et commercialisation de la production :  SA.111668 pour les aides à finalité régionale et SA.113412 pour les aides en faveur des PME
Régime de la diversification des activités de l'exploitation : SA.111668 pour les aides à finalité régionale et SA.113412 pour les aides en faveur des PME
➔ En cas de de minimis, appliquer le TMAP du programme et plafonner le montant d'aide publique à 300 000 € sur trois ans glissants.</t>
    </r>
  </si>
  <si>
    <t>TAP réglementaire du dispositif x Dépenses présentées après application du seuil</t>
  </si>
  <si>
    <t>Cette étape permet de recalculer le montant d'aide publique dans le cas où il existe des financeurs privés externes et des contributions en nature, et que la règle de non-profit ne serait pas respectée</t>
  </si>
  <si>
    <t>Saisie automatique</t>
  </si>
  <si>
    <r>
      <t xml:space="preserve">Saisie automatique en fonction des montants </t>
    </r>
    <r>
      <rPr>
        <b/>
        <sz val="16"/>
        <color rgb="FFFF0000"/>
        <rFont val="Calibri (Corps)"/>
      </rPr>
      <t>( se rapprocher du service instructeur le cas échéant)</t>
    </r>
  </si>
  <si>
    <t>Montant d'aide calculé après application des RIF - Montant du financeur public autre que FEADER/Région</t>
  </si>
  <si>
    <t xml:space="preserve">
Taux établi par la stratégie régionale dans le cadre de cette intervention</t>
  </si>
  <si>
    <t xml:space="preserve">
Taux établi par la stratégie régionale dans le cadre de cette intervention. Ce taux se recalcule par rapport au FEADER </t>
  </si>
  <si>
    <r>
      <t xml:space="preserve">Saisie automatique à corriger dans le cas où le montant du financeur public autre que FEADER/Région est supérieur à la part nationale, mais que la Région participe également à la part nationale </t>
    </r>
    <r>
      <rPr>
        <b/>
        <sz val="16"/>
        <color rgb="FFFF0000"/>
        <rFont val="Calibri (Corps)"/>
      </rPr>
      <t>(se rapprocher du service instructeur)</t>
    </r>
  </si>
  <si>
    <t>Montant de la part nationale - le montant du financeur public autre que FEADER/Région</t>
  </si>
  <si>
    <t>Emprunt + Auto-financement</t>
  </si>
  <si>
    <t>Total des dépenses</t>
  </si>
  <si>
    <t>.</t>
  </si>
  <si>
    <t>Partie réservée à l'administration - Récapitulatif des dépenses de l'opération retenues à l'instruction
(saisies automatiques à corriger selon les modalités d'instruction)</t>
  </si>
  <si>
    <r>
      <rPr>
        <b/>
        <sz val="25"/>
        <color theme="1"/>
        <rFont val="Calibri"/>
        <family val="2"/>
        <scheme val="minor"/>
      </rPr>
      <t xml:space="preserve">Indication à l'attention de l'instructeur concernant cet onglet : </t>
    </r>
    <r>
      <rPr>
        <sz val="25"/>
        <color theme="1"/>
        <rFont val="Calibri"/>
        <family val="2"/>
        <scheme val="minor"/>
      </rPr>
      <t xml:space="preserve">
- Cet onglet est divisé en 2 parties : la synthèse de l'instruction et l'instruction de la demande d'aide.  
- Les tableaux de synthèses des dépenses et des ressources sont alimentés par les informations saisies dans les tableaux liés aux étapes 1 à 4
- Les calculs et contrôles bloquants sont automatisés dans les étapes 1, 2 et 4. L'instructeur peut directement modifier les cellules en cas d'erreur identifiées</t>
    </r>
  </si>
  <si>
    <t>SYNTHESE DE L'INSTRUCTION</t>
  </si>
  <si>
    <t>SYNTHÈSE DES DÉPENSES APRES INSTRUCTION</t>
  </si>
  <si>
    <t>SYNTHESE DES RESSOURCES ELIGIBLES RETENUES (cf. étapes 3 et 4)</t>
  </si>
  <si>
    <r>
      <t xml:space="preserve">Synthèse des dépenses </t>
    </r>
    <r>
      <rPr>
        <b/>
        <u/>
        <sz val="18"/>
        <color rgb="FFFF0000"/>
        <rFont val="Calibri"/>
        <family val="2"/>
        <scheme val="minor"/>
      </rPr>
      <t xml:space="preserve">éligibles </t>
    </r>
    <r>
      <rPr>
        <b/>
        <sz val="18"/>
        <color theme="1"/>
        <rFont val="Calibri"/>
        <family val="2"/>
        <scheme val="minor"/>
      </rPr>
      <t>(avant RIF)</t>
    </r>
  </si>
  <si>
    <t>Montant écarté à l'instruction dans les postes de dépenses</t>
  </si>
  <si>
    <r>
      <t xml:space="preserve">Synthèse des dépenses </t>
    </r>
    <r>
      <rPr>
        <b/>
        <u/>
        <sz val="18"/>
        <color rgb="FFFF0000"/>
        <rFont val="Calibri"/>
        <family val="2"/>
        <scheme val="minor"/>
      </rPr>
      <t>éligibles retenues</t>
    </r>
    <r>
      <rPr>
        <b/>
        <sz val="18"/>
        <color theme="1"/>
        <rFont val="Calibri"/>
        <family val="2"/>
        <scheme val="minor"/>
      </rPr>
      <t xml:space="preserve"> (après RIF)</t>
    </r>
  </si>
  <si>
    <t>Montant écarté définitif après application des RIF</t>
  </si>
  <si>
    <t>Cofinancement externe privé éligible</t>
  </si>
  <si>
    <t>Taux d'aide publique indicatif</t>
  </si>
  <si>
    <t>Montant d'aide publique retenu</t>
  </si>
  <si>
    <t>Contrepartie FEADER retenue</t>
  </si>
  <si>
    <t>Top-Up</t>
  </si>
  <si>
    <t xml:space="preserve">Apport du porteur de projet </t>
  </si>
  <si>
    <t>Montant TVA</t>
  </si>
  <si>
    <t>Montant TTC</t>
  </si>
  <si>
    <t>Dépenses présentées - Dépenses éligibles</t>
  </si>
  <si>
    <t>Il s'agit du total des dépenses éligibles retenues après application des seuils et plafonds (cf. les étapes 1 à 4)</t>
  </si>
  <si>
    <t>Dépenses présentées - Dépenses éligibles retenues</t>
  </si>
  <si>
    <t>/</t>
  </si>
  <si>
    <t>Moyenne des taux d'aide publique des différents types d'actions</t>
  </si>
  <si>
    <t xml:space="preserve">Montant d'aide publique effectivement retenu </t>
  </si>
  <si>
    <t xml:space="preserve">Ce montant comprend les éventuels cofinanceurs publics et le financement régional </t>
  </si>
  <si>
    <t xml:space="preserve">Dépenses éligibles retenues - les financements externes privés et publics </t>
  </si>
  <si>
    <t>INSTRUCTION DE LA DEMANDE D'AIDE</t>
  </si>
  <si>
    <t>Calcul des plafonds intermédiaires pour l'achat de terrain et les frais généraux</t>
  </si>
  <si>
    <t>CONTRÔLES BLOQUANTS</t>
  </si>
  <si>
    <t xml:space="preserve">VENTILATION DES DEPENSES PAR POSTE DE DEPENSE </t>
  </si>
  <si>
    <t>INSTRUCTION DES COFINANCEURS AUTRES QUE FEADER ET REGION</t>
  </si>
  <si>
    <t>Calcul plafond global</t>
  </si>
  <si>
    <r>
      <t xml:space="preserve">Le total des dépenses prévisionnelles lié au type d'action "Plantations pérennes"  ne peut être inférieur à 5 000 € HT 
</t>
    </r>
    <r>
      <rPr>
        <b/>
        <sz val="18"/>
        <color rgb="FFFF0000"/>
        <rFont val="Calibri"/>
        <family val="2"/>
        <scheme val="minor"/>
      </rPr>
      <t>ATTENTION: Le respect de ce seuil est une condition d'éligibilité des dépenses liées à ce type d'action</t>
    </r>
  </si>
  <si>
    <t>Montant du plafond des frais généraux (10% max. des dépenses éligibles)</t>
  </si>
  <si>
    <t>Investissements</t>
  </si>
  <si>
    <r>
      <t xml:space="preserve">OCS mobilisée(s) </t>
    </r>
    <r>
      <rPr>
        <b/>
        <sz val="18"/>
        <color rgb="FFFF0000"/>
        <rFont val="Calibri"/>
        <family val="2"/>
      </rPr>
      <t>(le taux forfaitaire de 20% pour les frais de personnel et d'autoconstruction ne peut pas être mobilisé sur le type d'action "Plantation pérenne" pour la canne à sucre et la banane) :</t>
    </r>
  </si>
  <si>
    <r>
      <t>Montant du cofinanceur</t>
    </r>
    <r>
      <rPr>
        <b/>
        <u/>
        <sz val="18"/>
        <color rgb="FFFF0000"/>
        <rFont val="Calibri (Corps)"/>
      </rPr>
      <t xml:space="preserve"> public</t>
    </r>
    <r>
      <rPr>
        <b/>
        <sz val="18"/>
        <rFont val="Calibri (Corps)"/>
      </rPr>
      <t xml:space="preserve"> autre que FEADER/Région, le cas échéant</t>
    </r>
  </si>
  <si>
    <t>Identité du/des cofinanceur(s) public(s) autre(s) que FEADER/Région, justificatif présenté</t>
  </si>
  <si>
    <t>Les décisions d'attribution des financements publics autres que FEADER/Région sont-elles obtenues en date du dépôt de la demande d'aide ?</t>
  </si>
  <si>
    <r>
      <t xml:space="preserve">Montant du financeur </t>
    </r>
    <r>
      <rPr>
        <b/>
        <u/>
        <sz val="18"/>
        <color rgb="FFFF0000"/>
        <rFont val="Calibri (Corps)"/>
      </rPr>
      <t>privé</t>
    </r>
    <r>
      <rPr>
        <b/>
        <u/>
        <sz val="18"/>
        <rFont val="Calibri (Corps)"/>
      </rPr>
      <t>,</t>
    </r>
    <r>
      <rPr>
        <b/>
        <sz val="18"/>
        <rFont val="Calibri (Corps)"/>
      </rPr>
      <t xml:space="preserve"> le cas échéant</t>
    </r>
  </si>
  <si>
    <t>Identité du/des cofinanceur(s) privé(s)</t>
  </si>
  <si>
    <t>Les décisions d'attribution des financements privés sont-elles obtenues en date du dépôt de la demande d'aide ?</t>
  </si>
  <si>
    <t>Montant éligible hors frais généraux et hors achat de terrain (non acquis à des fins de protection de l’environnement et de préservation des sols riches en carbone, ou non acquis pour de jeunes agriculteurs au moyen d’instrument financier)</t>
  </si>
  <si>
    <r>
      <t xml:space="preserve">Le total des dépenses prévisionnelles lié aux type d'action autres que "Plantations pérennes"  ne peut pas </t>
    </r>
    <r>
      <rPr>
        <b/>
        <u/>
        <sz val="18"/>
        <color theme="1"/>
        <rFont val="Calibri"/>
        <family val="2"/>
        <scheme val="minor"/>
      </rPr>
      <t>être inférieur à</t>
    </r>
    <r>
      <rPr>
        <b/>
        <sz val="18"/>
        <color theme="1"/>
        <rFont val="Calibri"/>
        <family val="2"/>
        <scheme val="minor"/>
      </rPr>
      <t xml:space="preserve"> 15 000 € HT 
</t>
    </r>
    <r>
      <rPr>
        <b/>
        <sz val="18"/>
        <color rgb="FFFF0000"/>
        <rFont val="Calibri"/>
        <family val="2"/>
        <scheme val="minor"/>
      </rPr>
      <t>ATTENTION: Le respect de ce seuil est une condition d'éligibilité des dépenses hors plantations pérennes</t>
    </r>
  </si>
  <si>
    <r>
      <t xml:space="preserve">Plafond des frais généraux
</t>
    </r>
    <r>
      <rPr>
        <b/>
        <sz val="18"/>
        <color rgb="FFFF0000"/>
        <rFont val="Calibri"/>
        <family val="2"/>
        <scheme val="minor"/>
      </rPr>
      <t>En cas de "Plafond non respecté", le plafonnement est réalisé automatiquement dans le tableau ci-dessous</t>
    </r>
  </si>
  <si>
    <t>Attention, si le montant versé par le cofinanceur porte sur un périmètre différent du projet éligible au FEADER, il ne faut renseigner ici que le montant correspondant au périmètre du projet éligible au FEADER</t>
  </si>
  <si>
    <t>Plafond global 20%</t>
  </si>
  <si>
    <r>
      <t xml:space="preserve">Le total des dépenses prévisionnelles de la demande d’aide ne peut pas </t>
    </r>
    <r>
      <rPr>
        <b/>
        <u/>
        <sz val="18"/>
        <color rgb="FF000000"/>
        <rFont val="Calibri"/>
        <family val="2"/>
        <scheme val="minor"/>
      </rPr>
      <t>dépasser</t>
    </r>
    <r>
      <rPr>
        <b/>
        <sz val="18"/>
        <color rgb="FF000000"/>
        <rFont val="Calibri"/>
        <family val="2"/>
        <scheme val="minor"/>
      </rPr>
      <t xml:space="preserve"> 4 500 000 € HT
</t>
    </r>
    <r>
      <rPr>
        <b/>
        <sz val="18"/>
        <color rgb="FFFF0000"/>
        <rFont val="Calibri"/>
        <family val="2"/>
        <scheme val="minor"/>
      </rPr>
      <t>ATTENTION : Le respect de cette règle est une condition d'éligibilité du projet dans sa totalité</t>
    </r>
  </si>
  <si>
    <t>Montant du plafond de l'achat de terrain hors terrain à des fins de protection de l’environnement et de préservation des sols riches en carbone, ou terrain pour de jeunes agriculteurs acquis au moyen d’instrument financier (10% max. des dépenses éligibles)</t>
  </si>
  <si>
    <t>Dépenses éligibles (avant RIF)</t>
  </si>
  <si>
    <t>Répartition du montant plafond</t>
  </si>
  <si>
    <r>
      <t xml:space="preserve">Le total des dépenses prévisionnelles lié au type d'action "Diversification des activités - gîtes ruraux" ne peut </t>
    </r>
    <r>
      <rPr>
        <b/>
        <u/>
        <sz val="18"/>
        <color rgb="FF000000"/>
        <rFont val="Calibri"/>
        <family val="2"/>
        <scheme val="minor"/>
      </rPr>
      <t xml:space="preserve">dépasser </t>
    </r>
    <r>
      <rPr>
        <b/>
        <sz val="18"/>
        <color rgb="FF000000"/>
        <rFont val="Calibri"/>
        <family val="2"/>
        <scheme val="minor"/>
      </rPr>
      <t xml:space="preserve">500 000 € HT
</t>
    </r>
    <r>
      <rPr>
        <b/>
        <sz val="18"/>
        <color rgb="FFFF0000"/>
        <rFont val="Calibri"/>
        <family val="2"/>
        <scheme val="minor"/>
      </rPr>
      <t>ATTENTION: Le respect de cette règle est une condition d'éligibilité des dépenses liées à ce type d'action</t>
    </r>
  </si>
  <si>
    <r>
      <t xml:space="preserve">Plafond de l'achat de terrain hors terrain à des fins de protection de l’environnement et de préservation des sols riches en carbone, ou terrain pour de jeunes agriculteurs acquis au moyen d’instrument financier
</t>
    </r>
    <r>
      <rPr>
        <b/>
        <sz val="18"/>
        <color rgb="FFFF0000"/>
        <rFont val="Calibri"/>
        <family val="2"/>
        <scheme val="minor"/>
      </rPr>
      <t>En cas de "Plafond non respecté", le plafonnement est réalisé automatiquement dans le tableau ci-dessous</t>
    </r>
  </si>
  <si>
    <t>Dépenses éligibles retenues (après RIF)</t>
  </si>
  <si>
    <t>Montant plafond des frais généraux</t>
  </si>
  <si>
    <r>
      <t xml:space="preserve">Le total des dépenses prévisionnelles lié au type d'action "Diversification des activités - hors gîtes ruraux" ne peut </t>
    </r>
    <r>
      <rPr>
        <b/>
        <u/>
        <sz val="18"/>
        <color rgb="FF000000"/>
        <rFont val="Calibri"/>
        <family val="2"/>
        <scheme val="minor"/>
      </rPr>
      <t xml:space="preserve">dépasser </t>
    </r>
    <r>
      <rPr>
        <b/>
        <sz val="18"/>
        <color rgb="FF000000"/>
        <rFont val="Calibri"/>
        <family val="2"/>
        <scheme val="minor"/>
      </rPr>
      <t xml:space="preserve">250 000 € HT
</t>
    </r>
    <r>
      <rPr>
        <b/>
        <sz val="18"/>
        <color rgb="FFFF0000"/>
        <rFont val="Calibri"/>
        <family val="2"/>
        <scheme val="minor"/>
      </rPr>
      <t>ATTENTION: Le respect de cette règle est une condition d'éligibilité des dépenses liées à ce type d'action</t>
    </r>
  </si>
  <si>
    <r>
      <t xml:space="preserve">Plafond pour respecter le non-profit
</t>
    </r>
    <r>
      <rPr>
        <b/>
        <sz val="18"/>
        <color rgb="FFFF0000"/>
        <rFont val="Calibri"/>
        <family val="2"/>
        <scheme val="minor"/>
      </rPr>
      <t>Montant des contributions en nature + cofinancement privé &lt; ou = (Montant des dépenses éligibles retenues - Montant d'aide calculé avec TMAP)</t>
    </r>
  </si>
  <si>
    <t>Montant plafond de l'achat de terrain</t>
  </si>
  <si>
    <r>
      <t xml:space="preserve">Conséquence des contributions en nature et cofinancement privé sur le montant d'aide publique
</t>
    </r>
    <r>
      <rPr>
        <b/>
        <sz val="18"/>
        <color rgb="FFFF0000"/>
        <rFont val="Calibri"/>
        <family val="2"/>
        <scheme val="minor"/>
      </rPr>
      <t>Au-delà du plafond ci-contre de contributions en nature et de cofinancement privé, le montant de l'aide publique est diminué</t>
    </r>
  </si>
  <si>
    <t>Montants plafonnés intermédiaires</t>
  </si>
  <si>
    <t>Montant plafonné intermédiaire des frais généraux</t>
  </si>
  <si>
    <t>Montant plafonné intermédiaire de l'achat de terrain</t>
  </si>
  <si>
    <t xml:space="preserve">CALCUL AUTOMATIQUE DE LA VENTILATION DES DEPENSES. L'INSTRUCTEUR PEUT CORRIGER DIRECTEMENT TOUT POINT DE CONTRÔLE LE CAS ECHEANT </t>
  </si>
  <si>
    <t>Dépenses éligibles</t>
  </si>
  <si>
    <t>Part du type d'action sur le total des dépenses éligibles retenues (en %)</t>
  </si>
  <si>
    <t>Taux d'Aide Publique (TAP) réglementaire de l'intervention avant contrôle de la règle de non-profit</t>
  </si>
  <si>
    <r>
      <t xml:space="preserve">Montant d'aide publique </t>
    </r>
    <r>
      <rPr>
        <b/>
        <sz val="16"/>
        <color rgb="FFFF0000"/>
        <rFont val="Calibri (Corps)"/>
      </rPr>
      <t>avant</t>
    </r>
    <r>
      <rPr>
        <b/>
        <sz val="16"/>
        <color theme="1"/>
        <rFont val="Calibri (Corps)"/>
      </rPr>
      <t xml:space="preserve"> contrôle de la règle de non-profit</t>
    </r>
  </si>
  <si>
    <t>Contributions en nature éligibles retenues</t>
  </si>
  <si>
    <t>Commentaires du service instructeur</t>
  </si>
  <si>
    <t>Sur cette opération : un seuil de 15 000 € (ainsi que 4 seuils relatifs aux types d'action) ainsi qu'un plafond s'applique sur les dépenses liées à l'achat de terrain ainsi qu'un autre sur  les frais généraux</t>
  </si>
  <si>
    <r>
      <rPr>
        <i/>
        <sz val="16"/>
        <color rgb="FFFF0000"/>
        <rFont val="Calibri (Corps)"/>
      </rPr>
      <t>Saisir dans cette colonne le TMAP applicable à chaque type d'action.</t>
    </r>
    <r>
      <rPr>
        <i/>
        <sz val="16"/>
        <rFont val="Calibri (Corps)"/>
      </rPr>
      <t xml:space="preserve">
Par exemple:
Le taux d’aide publique est de 80% pour :
- Les jeunes agriculteurs
- Les agriculteurs ou un groupement d’agriculteurs portant un projet collectif
- Les agriculteurs en production agriculture biologique certifiée ou en conversion vers l’AB
- Les collectivités locales ou leur groupement
- Les Etablissements publics
- Les Associations syndicales autorisées (ASA)
- Les Groupements fonciers agricoles (GFA)
Pour les bénéficiaires ou les opérations ne respectant pas les critères cités ci-dessus, le taux d’aide publique est de :
- 65 % pour les entreprises de travaux agricoles
- 75% pour les autres bénéficiaires
Cas spécifique pour l’irrigation (art 74 Règlement UE 2021/2115) :
a) 80 % des coûts éligibles pour les investissements en matière d’irrigation dans les exploitations agricoles réalisés au titre du paragraphe 4 de l’article 74 du Règlement UE 2021/2115) ;
b) 100 % des coûts éligibles pour les investissements dans les infrastructures en dehors des exploitations agricoles devant être utilisées pour l’irrigation ;
c) 65 % des coûts éligibles pour d’autres investissements en matière d’irrigation réalisés dans les exploitations agricoles
Régime d'aide général applicable : SA.60282
Régime de la Transformation et commercialisation de la production :  SA.111668 pour les aides à finalité régionale et SA.113412 pour les aides en faveur des PME
Régime de la diversification des activités de l'exploitation : SA.111668 pour les aides à finalité régionale et SA.113412 pour les aides en faveur des PME
➔ En cas de de minimis, appliquer le TMAP du programme et plafonner le montant d'aide publique à 300 000 sur trois ans glissants.</t>
    </r>
  </si>
  <si>
    <t>TAP réglementaire du dispositif x Dépenses éligibles retenues (après RIF)
(étape nécessaire aux calculs)</t>
  </si>
  <si>
    <t>Saise automatique</t>
  </si>
  <si>
    <t>Saisie automatique en fonction des montants à corriger si consigne différente le cas échéant</t>
  </si>
  <si>
    <r>
      <t xml:space="preserve">Saisie automatique </t>
    </r>
    <r>
      <rPr>
        <i/>
        <sz val="16"/>
        <color rgb="FFFF0000"/>
        <rFont val="Calibri (Corps)"/>
      </rPr>
      <t>(à corriger dans le cas où le montant du financeur public autre que FEADER/Région est supérieur à la part nationale, mais que la Région participe également à la part nationale)</t>
    </r>
    <r>
      <rPr>
        <i/>
        <sz val="16"/>
        <rFont val="Calibri (Corps)"/>
      </rPr>
      <t>.</t>
    </r>
  </si>
  <si>
    <t xml:space="preserve">Emprunt + Auto-financement </t>
  </si>
  <si>
    <t xml:space="preserve">Part de l'emprunt + auto-financement  </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</si>
  <si>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</si>
  <si>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</si>
  <si>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</si>
  <si>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</si>
  <si>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</si>
  <si>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Annexe financière à la Décision Juridique</t>
  </si>
  <si>
    <t>version 1 - Octobre 2025</t>
  </si>
  <si>
    <t xml:space="preserve">1. Synthèse des dépenses </t>
  </si>
  <si>
    <t>2. Synthèse des ressources instruites</t>
  </si>
  <si>
    <t>Dépenses instruites</t>
  </si>
  <si>
    <t>Coût total du projet (TOTAL DÉPENSES)</t>
  </si>
  <si>
    <t>Par poste de dépense</t>
  </si>
  <si>
    <t xml:space="preserve">Investissements </t>
  </si>
  <si>
    <t>Montant d'aide publique</t>
  </si>
  <si>
    <t>dont FEADER</t>
  </si>
  <si>
    <t>Contributions en nature</t>
  </si>
  <si>
    <t>dont conseil régional de Guadeloupe</t>
  </si>
  <si>
    <t>dont cofinanceur public externe 1</t>
  </si>
  <si>
    <t>Tx forf personnel+autoconst</t>
  </si>
  <si>
    <t>dont cofinanceur public externe 2</t>
  </si>
  <si>
    <t>dont cofinanceur public externe 3</t>
  </si>
  <si>
    <t xml:space="preserve">Montant des financeurs privés </t>
  </si>
  <si>
    <t>TOTAL</t>
  </si>
  <si>
    <t>dont cofinanceur privé 1</t>
  </si>
  <si>
    <t>Par type d'action</t>
  </si>
  <si>
    <t>dont cofinanceur privé 2</t>
  </si>
  <si>
    <t>dont cofinanceur privé 3</t>
  </si>
  <si>
    <t>Montant des contributions en nature</t>
  </si>
  <si>
    <t xml:space="preserve">Montant total apport bénéficiaire </t>
  </si>
  <si>
    <t>TOTAL RESSOURCES</t>
  </si>
  <si>
    <t>3. Détail des dépenses instruites par poste de dépense</t>
  </si>
  <si>
    <t xml:space="preserve">Numéro </t>
  </si>
  <si>
    <t xml:space="preserve">Caractéristique supplémentaire </t>
  </si>
  <si>
    <t>NC.</t>
  </si>
  <si>
    <t>Total éligible retenu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</si>
</sst>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 &quot;€&quot;;\-#,##0.00\ &quot;€&quot;"/>
    <numFmt numFmtId="165" formatCode="#,##0.00\ &quot;€&quot;;[Red]\-#,##0.00\ &quot;€&quot;"/>
    <numFmt numFmtId="166" formatCode="_-* #,##0.00\ &quot;€&quot;_-;\-* #,##0.00\ &quot;€&quot;_-;_-* &quot;-&quot;??\ &quot;€&quot;_-;_-@_-"/>
    <numFmt numFmtId="167" formatCode="_-* #,##0.00\ _€_-;\-* #,##0.00\ _€_-;_-* &quot;-&quot;??\ _€_-;_-@_-"/>
    <numFmt numFmtId="168" formatCode="#,##0.00\ &quot;€&quot;"/>
    <numFmt numFmtId="169" formatCode="#,##0.00&quot; &quot;[$€-40C];[Red]&quot;-&quot;#,##0.00&quot; &quot;[$€-40C]"/>
    <numFmt numFmtId="170" formatCode="&quot; &quot;#,##0.00&quot; € &quot;;&quot;-&quot;#,##0.00&quot; € &quot;;&quot;-&quot;#&quot; € &quot;;@&quot; &quot;"/>
    <numFmt numFmtId="171" formatCode="&quot; &quot;#,##0.00&quot;    &quot;;&quot;-&quot;#,##0.00&quot;    &quot;;&quot;-&quot;#&quot;    &quot;;@&quot; &quot;"/>
    <numFmt numFmtId="172" formatCode="#,##0.000000\ &quot;€&quot;"/>
  </numFmts>
  <fonts count="128">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b/>
      <sz val="11"/>
      <color rgb="FF0070C0"/>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i/>
      <sz val="11"/>
      <color theme="1"/>
      <name val="Calibri"/>
      <family val="2"/>
      <scheme val="minor"/>
    </font>
    <font>
      <u/>
      <sz val="12"/>
      <color theme="1"/>
      <name val="Calibri"/>
      <family val="2"/>
      <scheme val="minor"/>
    </font>
    <font>
      <b/>
      <sz val="12"/>
      <color rgb="FFFF0000"/>
      <name val="Calibri"/>
      <family val="2"/>
      <scheme val="minor"/>
    </font>
    <font>
      <sz val="12"/>
      <name val="Calibri"/>
      <family val="2"/>
      <scheme val="minor"/>
    </font>
    <font>
      <b/>
      <sz val="11"/>
      <name val="Calibri"/>
      <family val="2"/>
      <scheme val="minor"/>
    </font>
    <font>
      <b/>
      <sz val="20"/>
      <name val="Calibri"/>
      <family val="2"/>
      <scheme val="minor"/>
    </font>
    <font>
      <sz val="20"/>
      <color theme="1"/>
      <name val="Calibri"/>
      <family val="2"/>
      <scheme val="minor"/>
    </font>
    <font>
      <i/>
      <sz val="11"/>
      <color theme="1"/>
      <name val="Calibri"/>
      <family val="2"/>
      <scheme val="minor"/>
    </font>
    <font>
      <b/>
      <sz val="20"/>
      <color rgb="FFFF0000"/>
      <name val="Calibri"/>
      <family val="2"/>
      <scheme val="minor"/>
    </font>
    <font>
      <i/>
      <u/>
      <sz val="11"/>
      <name val="Calibri"/>
      <family val="2"/>
      <scheme val="minor"/>
    </font>
    <font>
      <sz val="12"/>
      <color rgb="FFFF0000"/>
      <name val="Calibri"/>
      <family val="2"/>
      <scheme val="minor"/>
    </font>
    <font>
      <b/>
      <sz val="16"/>
      <name val="Calibri"/>
      <family val="2"/>
    </font>
    <font>
      <b/>
      <i/>
      <sz val="14"/>
      <color theme="1"/>
      <name val="Calibri"/>
      <family val="2"/>
      <scheme val="minor"/>
    </font>
    <font>
      <sz val="20"/>
      <color rgb="FFFF0000"/>
      <name val="Calibri"/>
      <family val="2"/>
      <scheme val="minor"/>
    </font>
    <font>
      <i/>
      <sz val="11"/>
      <color rgb="FFFF0000"/>
      <name val="Calibri"/>
      <family val="2"/>
      <scheme val="minor"/>
    </font>
    <font>
      <b/>
      <i/>
      <sz val="11"/>
      <color rgb="FFFF0000"/>
      <name val="Calibri"/>
      <family val="2"/>
      <scheme val="minor"/>
    </font>
    <font>
      <b/>
      <sz val="11"/>
      <color rgb="FFC00000"/>
      <name val="Calibri"/>
      <family val="2"/>
      <scheme val="minor"/>
    </font>
    <font>
      <i/>
      <sz val="11"/>
      <color rgb="FF00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4"/>
      <color rgb="FF000000"/>
      <name val="Calibri"/>
      <family val="2"/>
      <scheme val="minor"/>
    </font>
    <font>
      <b/>
      <sz val="18"/>
      <color rgb="FF000000"/>
      <name val="Calibri"/>
      <family val="2"/>
      <scheme val="minor"/>
    </font>
    <font>
      <sz val="16"/>
      <color theme="1"/>
      <name val="Calibri"/>
      <family val="2"/>
      <scheme val="minor"/>
    </font>
    <font>
      <sz val="16"/>
      <color rgb="FF000000"/>
      <name val="Calibri"/>
      <family val="2"/>
      <scheme val="minor"/>
    </font>
    <font>
      <i/>
      <sz val="16"/>
      <color theme="1"/>
      <name val="Calibri"/>
      <family val="2"/>
      <scheme val="minor"/>
    </font>
    <font>
      <b/>
      <u/>
      <sz val="16"/>
      <color theme="1"/>
      <name val="Calibri"/>
      <family val="2"/>
      <scheme val="minor"/>
    </font>
    <font>
      <b/>
      <u/>
      <sz val="16"/>
      <color rgb="FF000000"/>
      <name val="Calibri"/>
      <family val="2"/>
      <scheme val="minor"/>
    </font>
    <font>
      <b/>
      <sz val="14"/>
      <color rgb="FF000000"/>
      <name val="Tahoma"/>
      <family val="2"/>
    </font>
    <font>
      <b/>
      <sz val="16"/>
      <name val="Calibri (Corps)"/>
    </font>
    <font>
      <b/>
      <i/>
      <sz val="16"/>
      <name val="Calibri (Corps)"/>
    </font>
    <font>
      <sz val="16"/>
      <color theme="1"/>
      <name val="Calibri (Corps)"/>
    </font>
    <font>
      <b/>
      <sz val="16"/>
      <color theme="1"/>
      <name val="Calibri (Corps)"/>
    </font>
    <font>
      <b/>
      <i/>
      <sz val="16"/>
      <color theme="1"/>
      <name val="Calibri"/>
      <family val="2"/>
      <scheme val="minor"/>
    </font>
    <font>
      <sz val="16"/>
      <name val="Calibri"/>
      <family val="2"/>
    </font>
    <font>
      <b/>
      <sz val="16"/>
      <color rgb="FFFF0000"/>
      <name val="Calibri (Corps)"/>
    </font>
    <font>
      <sz val="16"/>
      <name val="Calibri (Corps)"/>
    </font>
    <font>
      <i/>
      <sz val="16"/>
      <name val="Calibri (Corps)"/>
    </font>
    <font>
      <u/>
      <sz val="16"/>
      <color theme="10"/>
      <name val="Calibri"/>
      <family val="2"/>
      <scheme val="minor"/>
    </font>
    <font>
      <sz val="16"/>
      <color rgb="FFFF0000"/>
      <name val="Calibri"/>
      <family val="2"/>
    </font>
    <font>
      <b/>
      <sz val="16"/>
      <name val="Tahoma"/>
      <family val="2"/>
    </font>
    <font>
      <b/>
      <u/>
      <sz val="16"/>
      <color rgb="FFFF0000"/>
      <name val="Calibri"/>
      <family val="2"/>
      <scheme val="minor"/>
    </font>
    <font>
      <b/>
      <u/>
      <sz val="16"/>
      <name val="Calibri"/>
      <family val="2"/>
      <scheme val="minor"/>
    </font>
    <font>
      <b/>
      <i/>
      <sz val="16"/>
      <name val="Calibri"/>
      <family val="2"/>
      <scheme val="minor"/>
    </font>
    <font>
      <sz val="16"/>
      <name val="Calibri"/>
      <family val="2"/>
      <scheme val="minor"/>
    </font>
    <font>
      <b/>
      <i/>
      <sz val="10"/>
      <name val="Calibri"/>
      <family val="2"/>
      <scheme val="minor"/>
    </font>
    <font>
      <b/>
      <i/>
      <sz val="10"/>
      <color rgb="FFFF0000"/>
      <name val="Calibri"/>
      <family val="2"/>
      <scheme val="minor"/>
    </font>
    <font>
      <b/>
      <i/>
      <sz val="10"/>
      <color rgb="FF000000"/>
      <name val="Calibri"/>
      <family val="2"/>
      <scheme val="minor"/>
    </font>
    <font>
      <sz val="18"/>
      <color theme="1"/>
      <name val="Calibri"/>
      <family val="2"/>
      <scheme val="minor"/>
    </font>
    <font>
      <i/>
      <sz val="20"/>
      <color theme="1"/>
      <name val="Calibri"/>
      <family val="2"/>
      <scheme val="minor"/>
    </font>
    <font>
      <sz val="20"/>
      <color theme="0"/>
      <name val="Calibri"/>
      <family val="2"/>
      <scheme val="minor"/>
    </font>
    <font>
      <sz val="25"/>
      <color theme="1"/>
      <name val="Calibri"/>
      <family val="2"/>
      <scheme val="minor"/>
    </font>
    <font>
      <b/>
      <sz val="25"/>
      <color theme="1"/>
      <name val="Calibri"/>
      <family val="2"/>
      <scheme val="minor"/>
    </font>
    <font>
      <b/>
      <sz val="25"/>
      <color theme="0"/>
      <name val="Calibri"/>
      <family val="2"/>
      <scheme val="minor"/>
    </font>
    <font>
      <b/>
      <sz val="18"/>
      <name val="Calibri"/>
      <family val="2"/>
    </font>
    <font>
      <b/>
      <sz val="22"/>
      <name val="Calibri"/>
      <family val="2"/>
    </font>
    <font>
      <b/>
      <sz val="22"/>
      <color theme="0"/>
      <name val="Calibri"/>
      <family val="2"/>
      <scheme val="minor"/>
    </font>
    <font>
      <b/>
      <u/>
      <sz val="18"/>
      <color rgb="FFFF0000"/>
      <name val="Calibri"/>
      <family val="2"/>
      <scheme val="minor"/>
    </font>
    <font>
      <b/>
      <sz val="18"/>
      <color rgb="FFFF0000"/>
      <name val="Calibri"/>
      <family val="2"/>
      <scheme val="minor"/>
    </font>
    <font>
      <b/>
      <sz val="18"/>
      <color rgb="FFFF0000"/>
      <name val="Calibri"/>
      <family val="2"/>
    </font>
    <font>
      <b/>
      <u/>
      <sz val="18"/>
      <color theme="1"/>
      <name val="Calibri"/>
      <family val="2"/>
      <scheme val="minor"/>
    </font>
    <font>
      <b/>
      <u/>
      <sz val="18"/>
      <color rgb="FF000000"/>
      <name val="Calibri"/>
      <family val="2"/>
      <scheme val="minor"/>
    </font>
    <font>
      <b/>
      <sz val="18"/>
      <name val="Calibri"/>
      <family val="2"/>
      <scheme val="minor"/>
    </font>
    <font>
      <b/>
      <sz val="18"/>
      <color theme="1"/>
      <name val="Calibri"/>
      <family val="2"/>
    </font>
    <font>
      <sz val="18"/>
      <name val="Calibri"/>
      <family val="2"/>
    </font>
    <font>
      <sz val="18"/>
      <color theme="1"/>
      <name val="Calibri"/>
      <family val="2"/>
    </font>
    <font>
      <b/>
      <u/>
      <sz val="18"/>
      <color rgb="FFFF0000"/>
      <name val="Calibri (Corps)"/>
    </font>
    <font>
      <b/>
      <sz val="18"/>
      <name val="Calibri (Corps)"/>
    </font>
    <font>
      <b/>
      <u/>
      <sz val="18"/>
      <name val="Calibri (Corps)"/>
    </font>
    <font>
      <i/>
      <sz val="18"/>
      <name val="Calibri (Corps)"/>
    </font>
    <font>
      <b/>
      <i/>
      <sz val="18"/>
      <name val="Calibri (Corps)"/>
    </font>
    <font>
      <sz val="18"/>
      <color theme="1"/>
      <name val="Calibri (Corps)"/>
    </font>
    <font>
      <b/>
      <sz val="18"/>
      <color rgb="FF000000"/>
      <name val="Calibri (Corps)"/>
    </font>
    <font>
      <b/>
      <sz val="18"/>
      <color theme="1"/>
      <name val="Calibri (Corps)"/>
    </font>
    <font>
      <i/>
      <sz val="16"/>
      <color rgb="FFFF0000"/>
      <name val="Calibri (Corps)"/>
    </font>
    <font>
      <i/>
      <sz val="16"/>
      <color theme="1"/>
      <name val="Calibri (Corps)"/>
    </font>
    <font>
      <i/>
      <sz val="16"/>
      <color rgb="FFFF0000"/>
      <name val="Calibri"/>
      <family val="2"/>
      <scheme val="minor"/>
    </font>
    <font>
      <b/>
      <i/>
      <sz val="16"/>
      <name val="Calibri"/>
      <family val="2"/>
    </font>
  </fonts>
  <fills count="40">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rgb="FFC4D79B"/>
        <bgColor indexed="64"/>
      </patternFill>
    </fill>
    <fill>
      <patternFill patternType="solid">
        <fgColor theme="8" tint="0.39997558519241921"/>
        <bgColor indexed="64"/>
      </patternFill>
    </fill>
    <fill>
      <patternFill patternType="solid">
        <fgColor rgb="FFFFE699"/>
        <bgColor indexed="64"/>
      </patternFill>
    </fill>
    <fill>
      <patternFill patternType="solid">
        <fgColor rgb="FFFFFF00"/>
        <bgColor rgb="FF000000"/>
      </patternFill>
    </fill>
    <fill>
      <patternFill patternType="solid">
        <fgColor theme="9" tint="0.59999389629810485"/>
        <bgColor indexed="64"/>
      </patternFill>
    </fill>
    <fill>
      <patternFill patternType="solid">
        <fgColor theme="0" tint="-0.14999847407452621"/>
        <bgColor rgb="FF000000"/>
      </patternFill>
    </fill>
    <fill>
      <patternFill patternType="solid">
        <fgColor theme="9" tint="0.79998168889431442"/>
        <bgColor rgb="FF000000"/>
      </patternFill>
    </fill>
    <fill>
      <patternFill patternType="solid">
        <fgColor theme="0" tint="-0.249977111117893"/>
        <bgColor rgb="FF000000"/>
      </patternFill>
    </fill>
    <fill>
      <patternFill patternType="solid">
        <fgColor theme="6"/>
        <bgColor indexed="64"/>
      </patternFill>
    </fill>
    <fill>
      <patternFill patternType="solid">
        <fgColor rgb="FFA6A6A6"/>
        <bgColor rgb="FF000000"/>
      </patternFill>
    </fill>
    <fill>
      <patternFill patternType="solid">
        <fgColor theme="9" tint="-0.249977111117893"/>
        <bgColor indexed="64"/>
      </patternFill>
    </fill>
    <fill>
      <patternFill patternType="solid">
        <fgColor theme="9"/>
        <bgColor indexed="64"/>
      </patternFill>
    </fill>
    <fill>
      <patternFill patternType="solid">
        <fgColor rgb="FFF79646"/>
        <bgColor indexed="64"/>
      </patternFill>
    </fill>
  </fills>
  <borders count="3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right style="thick">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diagonal/>
    </border>
    <border>
      <left/>
      <right style="thick">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medium">
        <color theme="7"/>
      </left>
      <right style="thin">
        <color indexed="64"/>
      </right>
      <top style="medium">
        <color theme="7"/>
      </top>
      <bottom style="thin">
        <color indexed="64"/>
      </bottom>
      <diagonal/>
    </border>
    <border>
      <left style="thin">
        <color indexed="64"/>
      </left>
      <right style="thin">
        <color indexed="64"/>
      </right>
      <top style="medium">
        <color theme="7"/>
      </top>
      <bottom style="thin">
        <color indexed="64"/>
      </bottom>
      <diagonal/>
    </border>
    <border>
      <left style="thin">
        <color indexed="64"/>
      </left>
      <right style="medium">
        <color theme="7"/>
      </right>
      <top style="medium">
        <color theme="7"/>
      </top>
      <bottom style="thin">
        <color indexed="64"/>
      </bottom>
      <diagonal/>
    </border>
    <border>
      <left style="medium">
        <color theme="7"/>
      </left>
      <right style="thin">
        <color indexed="64"/>
      </right>
      <top style="thin">
        <color indexed="64"/>
      </top>
      <bottom/>
      <diagonal/>
    </border>
    <border>
      <left style="thick">
        <color indexed="64"/>
      </left>
      <right/>
      <top/>
      <bottom style="thin">
        <color indexed="64"/>
      </bottom>
      <diagonal/>
    </border>
    <border>
      <left style="thick">
        <color indexed="64"/>
      </left>
      <right/>
      <top/>
      <bottom/>
      <diagonal/>
    </border>
    <border>
      <left style="medium">
        <color theme="7"/>
      </left>
      <right style="thin">
        <color indexed="64"/>
      </right>
      <top style="thin">
        <color indexed="64"/>
      </top>
      <bottom style="thin">
        <color indexed="64"/>
      </bottom>
      <diagonal/>
    </border>
    <border>
      <left style="thin">
        <color indexed="64"/>
      </left>
      <right style="medium">
        <color theme="7"/>
      </right>
      <top style="thin">
        <color indexed="64"/>
      </top>
      <bottom style="thin">
        <color indexed="64"/>
      </bottom>
      <diagonal/>
    </border>
    <border>
      <left style="medium">
        <color theme="7"/>
      </left>
      <right style="thin">
        <color indexed="64"/>
      </right>
      <top style="thin">
        <color indexed="64"/>
      </top>
      <bottom style="medium">
        <color theme="7"/>
      </bottom>
      <diagonal/>
    </border>
    <border>
      <left style="thin">
        <color indexed="64"/>
      </left>
      <right style="thin">
        <color indexed="64"/>
      </right>
      <top style="thin">
        <color indexed="64"/>
      </top>
      <bottom style="medium">
        <color theme="7"/>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rgb="FF00B050"/>
      </left>
      <right style="thin">
        <color theme="1"/>
      </right>
      <top style="medium">
        <color rgb="FF00B050"/>
      </top>
      <bottom style="thin">
        <color theme="1"/>
      </bottom>
      <diagonal/>
    </border>
    <border>
      <left style="thin">
        <color theme="1"/>
      </left>
      <right style="thin">
        <color theme="1"/>
      </right>
      <top style="medium">
        <color rgb="FF00B050"/>
      </top>
      <bottom style="thin">
        <color theme="1"/>
      </bottom>
      <diagonal/>
    </border>
    <border>
      <left style="thin">
        <color theme="1"/>
      </left>
      <right style="medium">
        <color rgb="FF00B050"/>
      </right>
      <top style="medium">
        <color rgb="FF00B050"/>
      </top>
      <bottom style="thin">
        <color theme="1"/>
      </bottom>
      <diagonal/>
    </border>
    <border>
      <left style="medium">
        <color rgb="FF00B050"/>
      </left>
      <right style="thin">
        <color theme="1"/>
      </right>
      <top style="thin">
        <color theme="1"/>
      </top>
      <bottom style="thin">
        <color theme="1"/>
      </bottom>
      <diagonal/>
    </border>
    <border>
      <left style="thin">
        <color theme="1"/>
      </left>
      <right style="medium">
        <color rgb="FF00B050"/>
      </right>
      <top style="thin">
        <color theme="1"/>
      </top>
      <bottom style="thin">
        <color theme="1"/>
      </bottom>
      <diagonal/>
    </border>
    <border>
      <left style="medium">
        <color rgb="FF00B050"/>
      </left>
      <right style="thin">
        <color indexed="64"/>
      </right>
      <top style="thin">
        <color indexed="64"/>
      </top>
      <bottom style="thin">
        <color indexed="64"/>
      </bottom>
      <diagonal/>
    </border>
    <border>
      <left style="thin">
        <color indexed="64"/>
      </left>
      <right style="medium">
        <color rgb="FF00B050"/>
      </right>
      <top style="thin">
        <color indexed="64"/>
      </top>
      <bottom style="thin">
        <color indexed="64"/>
      </bottom>
      <diagonal/>
    </border>
    <border>
      <left/>
      <right/>
      <top style="thin">
        <color theme="1"/>
      </top>
      <bottom style="thin">
        <color theme="1"/>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rgb="FF00B050"/>
      </left>
      <right/>
      <top style="thin">
        <color indexed="64"/>
      </top>
      <bottom style="thin">
        <color indexed="64"/>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rgb="FF00B050"/>
      </left>
      <right style="thin">
        <color indexed="64"/>
      </right>
      <top style="medium">
        <color rgb="FF00B050"/>
      </top>
      <bottom style="thin">
        <color indexed="64"/>
      </bottom>
      <diagonal/>
    </border>
    <border>
      <left style="thin">
        <color indexed="64"/>
      </left>
      <right style="thin">
        <color indexed="64"/>
      </right>
      <top style="medium">
        <color rgb="FF00B050"/>
      </top>
      <bottom style="thin">
        <color indexed="64"/>
      </bottom>
      <diagonal/>
    </border>
    <border>
      <left style="thin">
        <color indexed="64"/>
      </left>
      <right style="medium">
        <color rgb="FF00B050"/>
      </right>
      <top style="medium">
        <color rgb="FF00B050"/>
      </top>
      <bottom style="thin">
        <color indexed="64"/>
      </bottom>
      <diagonal/>
    </border>
    <border>
      <left style="thin">
        <color indexed="64"/>
      </left>
      <right style="medium">
        <color theme="7"/>
      </right>
      <top style="thin">
        <color indexed="64"/>
      </top>
      <bottom style="medium">
        <color theme="7"/>
      </bottom>
      <diagonal/>
    </border>
    <border>
      <left style="thin">
        <color indexed="64"/>
      </left>
      <right style="medium">
        <color indexed="64"/>
      </right>
      <top style="medium">
        <color indexed="64"/>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diagonal/>
    </border>
    <border>
      <left/>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thin">
        <color indexed="64"/>
      </left>
      <right style="medium">
        <color theme="1"/>
      </right>
      <top/>
      <bottom style="thin">
        <color indexed="64"/>
      </bottom>
      <diagonal/>
    </border>
    <border>
      <left style="thin">
        <color indexed="64"/>
      </left>
      <right style="medium">
        <color theme="1"/>
      </right>
      <top style="thin">
        <color indexed="64"/>
      </top>
      <bottom style="thin">
        <color indexed="64"/>
      </bottom>
      <diagonal/>
    </border>
    <border>
      <left style="thin">
        <color indexed="64"/>
      </left>
      <right style="medium">
        <color theme="1"/>
      </right>
      <top style="thin">
        <color indexed="64"/>
      </top>
      <bottom style="medium">
        <color theme="1"/>
      </bottom>
      <diagonal/>
    </border>
    <border>
      <left style="thin">
        <color theme="1"/>
      </left>
      <right/>
      <top/>
      <bottom/>
      <diagonal/>
    </border>
    <border>
      <left style="medium">
        <color theme="1"/>
      </left>
      <right style="thin">
        <color theme="1"/>
      </right>
      <top style="medium">
        <color theme="1"/>
      </top>
      <bottom style="thin">
        <color theme="1"/>
      </bottom>
      <diagonal/>
    </border>
    <border>
      <left style="thin">
        <color theme="1"/>
      </left>
      <right/>
      <top style="medium">
        <color theme="1"/>
      </top>
      <bottom/>
      <diagonal/>
    </border>
    <border>
      <left style="thin">
        <color theme="1"/>
      </left>
      <right/>
      <top/>
      <bottom style="medium">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indexed="64"/>
      </right>
      <top/>
      <bottom style="thin">
        <color indexed="64"/>
      </bottom>
      <diagonal/>
    </border>
    <border>
      <left/>
      <right style="medium">
        <color theme="1"/>
      </right>
      <top/>
      <bottom style="thin">
        <color indexed="64"/>
      </bottom>
      <diagonal/>
    </border>
    <border>
      <left style="medium">
        <color theme="1"/>
      </left>
      <right style="thin">
        <color indexed="64"/>
      </right>
      <top style="thin">
        <color indexed="64"/>
      </top>
      <bottom style="thin">
        <color indexed="64"/>
      </bottom>
      <diagonal/>
    </border>
    <border>
      <left/>
      <right style="thin">
        <color theme="1"/>
      </right>
      <top/>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right style="thin">
        <color theme="1"/>
      </right>
      <top style="medium">
        <color theme="1"/>
      </top>
      <bottom/>
      <diagonal/>
    </border>
    <border>
      <left/>
      <right style="thin">
        <color theme="1"/>
      </right>
      <top/>
      <bottom style="medium">
        <color theme="1"/>
      </bottom>
      <diagonal/>
    </border>
    <border>
      <left/>
      <right style="thin">
        <color indexed="64"/>
      </right>
      <top/>
      <bottom style="medium">
        <color theme="1"/>
      </bottom>
      <diagonal/>
    </border>
    <border>
      <left style="thin">
        <color indexed="64"/>
      </left>
      <right style="medium">
        <color theme="1"/>
      </right>
      <top/>
      <bottom style="medium">
        <color theme="1"/>
      </bottom>
      <diagonal/>
    </border>
    <border>
      <left style="thin">
        <color indexed="64"/>
      </left>
      <right/>
      <top style="medium">
        <color theme="1"/>
      </top>
      <bottom style="thin">
        <color indexed="64"/>
      </bottom>
      <diagonal/>
    </border>
    <border>
      <left style="medium">
        <color theme="1"/>
      </left>
      <right style="thin">
        <color indexed="64"/>
      </right>
      <top/>
      <bottom style="medium">
        <color theme="1"/>
      </bottom>
      <diagonal/>
    </border>
    <border>
      <left style="thin">
        <color indexed="64"/>
      </left>
      <right/>
      <top style="thin">
        <color indexed="64"/>
      </top>
      <bottom style="medium">
        <color theme="1"/>
      </bottom>
      <diagonal/>
    </border>
    <border>
      <left style="thin">
        <color indexed="64"/>
      </left>
      <right/>
      <top style="medium">
        <color theme="1"/>
      </top>
      <bottom/>
      <diagonal/>
    </border>
    <border>
      <left/>
      <right style="medium">
        <color theme="1"/>
      </right>
      <top style="medium">
        <color theme="1"/>
      </top>
      <bottom style="thin">
        <color indexed="64"/>
      </bottom>
      <diagonal/>
    </border>
    <border>
      <left style="medium">
        <color theme="1"/>
      </left>
      <right style="thin">
        <color theme="1"/>
      </right>
      <top style="thin">
        <color theme="1"/>
      </top>
      <bottom/>
      <diagonal/>
    </border>
    <border>
      <left style="thin">
        <color theme="1"/>
      </left>
      <right style="thin">
        <color theme="1"/>
      </right>
      <top style="thin">
        <color theme="1"/>
      </top>
      <bottom/>
      <diagonal/>
    </border>
    <border>
      <left style="thin">
        <color theme="1"/>
      </left>
      <right style="medium">
        <color theme="1"/>
      </right>
      <top style="thin">
        <color theme="1"/>
      </top>
      <bottom/>
      <diagonal/>
    </border>
    <border>
      <left style="thin">
        <color theme="1"/>
      </left>
      <right/>
      <top style="thin">
        <color theme="1"/>
      </top>
      <bottom style="thin">
        <color theme="1"/>
      </bottom>
      <diagonal/>
    </border>
    <border>
      <left style="thin">
        <color theme="1"/>
      </left>
      <right/>
      <top style="thin">
        <color theme="1"/>
      </top>
      <bottom style="medium">
        <color theme="1"/>
      </bottom>
      <diagonal/>
    </border>
    <border>
      <left/>
      <right style="medium">
        <color theme="1"/>
      </right>
      <top style="thin">
        <color indexed="64"/>
      </top>
      <bottom/>
      <diagonal/>
    </border>
    <border>
      <left style="medium">
        <color theme="1"/>
      </left>
      <right/>
      <top style="thin">
        <color indexed="64"/>
      </top>
      <bottom/>
      <diagonal/>
    </border>
    <border>
      <left style="thin">
        <color theme="1"/>
      </left>
      <right style="medium">
        <color theme="1"/>
      </right>
      <top style="medium">
        <color theme="1"/>
      </top>
      <bottom/>
      <diagonal/>
    </border>
    <border>
      <left/>
      <right style="medium">
        <color theme="1"/>
      </right>
      <top style="thin">
        <color theme="1"/>
      </top>
      <bottom style="thin">
        <color theme="1"/>
      </bottom>
      <diagonal/>
    </border>
    <border>
      <left style="thin">
        <color theme="1"/>
      </left>
      <right style="thin">
        <color theme="1"/>
      </right>
      <top style="medium">
        <color theme="1"/>
      </top>
      <bottom/>
      <diagonal/>
    </border>
    <border>
      <left style="thin">
        <color theme="1"/>
      </left>
      <right style="thin">
        <color theme="1"/>
      </right>
      <top/>
      <bottom style="thin">
        <color theme="1"/>
      </bottom>
      <diagonal/>
    </border>
    <border>
      <left style="medium">
        <color indexed="64"/>
      </left>
      <right/>
      <top style="medium">
        <color indexed="64"/>
      </top>
      <bottom style="thin">
        <color theme="1"/>
      </bottom>
      <diagonal/>
    </border>
    <border>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top style="thin">
        <color theme="1"/>
      </top>
      <bottom/>
      <diagonal/>
    </border>
    <border>
      <left style="medium">
        <color indexed="64"/>
      </left>
      <right style="thin">
        <color theme="1"/>
      </right>
      <top style="thin">
        <color theme="1"/>
      </top>
      <bottom/>
      <diagonal/>
    </border>
    <border>
      <left style="medium">
        <color indexed="64"/>
      </left>
      <right style="thin">
        <color theme="1"/>
      </right>
      <top style="medium">
        <color theme="1"/>
      </top>
      <bottom style="medium">
        <color indexed="64"/>
      </bottom>
      <diagonal/>
    </border>
    <border>
      <left/>
      <right/>
      <top style="medium">
        <color theme="1"/>
      </top>
      <bottom style="medium">
        <color indexed="64"/>
      </bottom>
      <diagonal/>
    </border>
    <border>
      <left style="thin">
        <color theme="1"/>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medium">
        <color theme="1"/>
      </bottom>
      <diagonal/>
    </border>
    <border>
      <left style="thin">
        <color indexed="64"/>
      </left>
      <right style="thin">
        <color indexed="64"/>
      </right>
      <top/>
      <bottom style="medium">
        <color theme="1"/>
      </bottom>
      <diagonal/>
    </border>
    <border>
      <left/>
      <right/>
      <top style="medium">
        <color theme="1"/>
      </top>
      <bottom style="thin">
        <color indexed="64"/>
      </bottom>
      <diagonal/>
    </border>
    <border>
      <left/>
      <right/>
      <top style="thin">
        <color indexed="64"/>
      </top>
      <bottom style="medium">
        <color theme="1"/>
      </bottom>
      <diagonal/>
    </border>
    <border>
      <left/>
      <right style="thin">
        <color theme="1"/>
      </right>
      <top style="thin">
        <color theme="1"/>
      </top>
      <bottom style="medium">
        <color theme="1"/>
      </bottom>
      <diagonal/>
    </border>
    <border>
      <left/>
      <right style="thin">
        <color theme="1"/>
      </right>
      <top style="medium">
        <color theme="1"/>
      </top>
      <bottom style="thin">
        <color theme="1"/>
      </bottom>
      <diagonal/>
    </border>
    <border>
      <left style="medium">
        <color theme="1"/>
      </left>
      <right style="thin">
        <color indexed="64"/>
      </right>
      <top style="medium">
        <color theme="1"/>
      </top>
      <bottom style="medium">
        <color indexed="64"/>
      </bottom>
      <diagonal/>
    </border>
    <border>
      <left style="thin">
        <color indexed="64"/>
      </left>
      <right style="thin">
        <color indexed="64"/>
      </right>
      <top style="medium">
        <color theme="1"/>
      </top>
      <bottom style="medium">
        <color indexed="64"/>
      </bottom>
      <diagonal/>
    </border>
    <border>
      <left style="medium">
        <color theme="1"/>
      </left>
      <right style="thin">
        <color indexed="64"/>
      </right>
      <top style="thin">
        <color indexed="64"/>
      </top>
      <bottom/>
      <diagonal/>
    </border>
    <border>
      <left style="medium">
        <color theme="1"/>
      </left>
      <right style="medium">
        <color indexed="64"/>
      </right>
      <top style="medium">
        <color theme="1"/>
      </top>
      <bottom/>
      <diagonal/>
    </border>
    <border>
      <left style="thin">
        <color indexed="64"/>
      </left>
      <right style="thin">
        <color indexed="64"/>
      </right>
      <top style="medium">
        <color theme="1"/>
      </top>
      <bottom/>
      <diagonal/>
    </border>
    <border>
      <left style="medium">
        <color theme="1"/>
      </left>
      <right style="medium">
        <color indexed="64"/>
      </right>
      <top/>
      <bottom/>
      <diagonal/>
    </border>
    <border>
      <left style="thin">
        <color indexed="64"/>
      </left>
      <right style="medium">
        <color theme="1"/>
      </right>
      <top style="thin">
        <color indexed="64"/>
      </top>
      <bottom style="medium">
        <color indexed="64"/>
      </bottom>
      <diagonal/>
    </border>
    <border>
      <left style="thin">
        <color indexed="64"/>
      </left>
      <right style="medium">
        <color theme="1"/>
      </right>
      <top style="medium">
        <color indexed="64"/>
      </top>
      <bottom/>
      <diagonal/>
    </border>
    <border>
      <left style="medium">
        <color theme="1"/>
      </left>
      <right style="medium">
        <color indexed="64"/>
      </right>
      <top/>
      <bottom style="medium">
        <color theme="1"/>
      </bottom>
      <diagonal/>
    </border>
    <border>
      <left style="medium">
        <color indexed="64"/>
      </left>
      <right/>
      <top style="medium">
        <color indexed="64"/>
      </top>
      <bottom style="medium">
        <color theme="1"/>
      </bottom>
      <diagonal/>
    </border>
    <border>
      <left/>
      <right/>
      <top style="medium">
        <color indexed="64"/>
      </top>
      <bottom style="medium">
        <color theme="1"/>
      </bottom>
      <diagonal/>
    </border>
    <border>
      <left/>
      <right style="medium">
        <color theme="1"/>
      </right>
      <top style="medium">
        <color indexed="64"/>
      </top>
      <bottom style="medium">
        <color theme="1"/>
      </bottom>
      <diagonal/>
    </border>
    <border>
      <left style="medium">
        <color theme="1"/>
      </left>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style="thin">
        <color indexed="64"/>
      </right>
      <top style="medium">
        <color indexed="64"/>
      </top>
      <bottom style="thin">
        <color indexed="64"/>
      </bottom>
      <diagonal/>
    </border>
    <border>
      <left style="thin">
        <color indexed="64"/>
      </left>
      <right style="medium">
        <color indexed="64"/>
      </right>
      <top style="thin">
        <color indexed="64"/>
      </top>
      <bottom style="medium">
        <color theme="1"/>
      </bottom>
      <diagonal/>
    </border>
    <border>
      <left style="medium">
        <color indexed="64"/>
      </left>
      <right style="thin">
        <color indexed="64"/>
      </right>
      <top style="thin">
        <color indexed="64"/>
      </top>
      <bottom style="medium">
        <color theme="1"/>
      </bottom>
      <diagonal/>
    </border>
    <border>
      <left style="medium">
        <color theme="1"/>
      </left>
      <right/>
      <top style="thin">
        <color indexed="64"/>
      </top>
      <bottom style="medium">
        <color theme="1"/>
      </bottom>
      <diagonal/>
    </border>
    <border>
      <left style="medium">
        <color indexed="64"/>
      </left>
      <right/>
      <top style="thin">
        <color indexed="64"/>
      </top>
      <bottom style="medium">
        <color theme="1"/>
      </bottom>
      <diagonal/>
    </border>
    <border>
      <left/>
      <right style="medium">
        <color theme="1"/>
      </right>
      <top style="medium">
        <color theme="1"/>
      </top>
      <bottom/>
      <diagonal/>
    </border>
    <border>
      <left style="medium">
        <color theme="1"/>
      </left>
      <right style="thin">
        <color indexed="64"/>
      </right>
      <top style="medium">
        <color indexed="64"/>
      </top>
      <bottom/>
      <diagonal/>
    </border>
    <border>
      <left style="medium">
        <color theme="1"/>
      </left>
      <right style="thin">
        <color indexed="64"/>
      </right>
      <top/>
      <bottom/>
      <diagonal/>
    </border>
    <border>
      <left style="thin">
        <color indexed="64"/>
      </left>
      <right style="medium">
        <color theme="1"/>
      </right>
      <top/>
      <bottom/>
      <diagonal/>
    </border>
    <border>
      <left style="medium">
        <color theme="1"/>
      </left>
      <right/>
      <top style="medium">
        <color indexed="64"/>
      </top>
      <bottom style="medium">
        <color indexed="64"/>
      </bottom>
      <diagonal/>
    </border>
    <border>
      <left style="medium">
        <color theme="1"/>
      </left>
      <right style="thin">
        <color indexed="64"/>
      </right>
      <top style="thin">
        <color indexed="64"/>
      </top>
      <bottom style="medium">
        <color indexed="64"/>
      </bottom>
      <diagonal/>
    </border>
    <border>
      <left style="medium">
        <color theme="9"/>
      </left>
      <right/>
      <top style="medium">
        <color theme="9"/>
      </top>
      <bottom/>
      <diagonal/>
    </border>
    <border>
      <left/>
      <right/>
      <top style="medium">
        <color theme="9"/>
      </top>
      <bottom/>
      <diagonal/>
    </border>
    <border>
      <left/>
      <right style="medium">
        <color theme="9"/>
      </right>
      <top style="medium">
        <color theme="9"/>
      </top>
      <bottom/>
      <diagonal/>
    </border>
    <border>
      <left style="medium">
        <color theme="9"/>
      </left>
      <right/>
      <top/>
      <bottom/>
      <diagonal/>
    </border>
    <border>
      <left/>
      <right style="medium">
        <color theme="9"/>
      </right>
      <top/>
      <bottom/>
      <diagonal/>
    </border>
    <border>
      <left style="medium">
        <color theme="9"/>
      </left>
      <right/>
      <top/>
      <bottom style="medium">
        <color theme="9"/>
      </bottom>
      <diagonal/>
    </border>
    <border>
      <left/>
      <right/>
      <top/>
      <bottom style="medium">
        <color theme="9"/>
      </bottom>
      <diagonal/>
    </border>
    <border>
      <left/>
      <right style="medium">
        <color theme="9"/>
      </right>
      <top/>
      <bottom style="medium">
        <color theme="9"/>
      </bottom>
      <diagonal/>
    </border>
    <border>
      <left style="thin">
        <color theme="1"/>
      </left>
      <right style="thin">
        <color theme="1"/>
      </right>
      <top/>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right/>
      <top style="medium">
        <color theme="1"/>
      </top>
      <bottom style="thin">
        <color theme="1"/>
      </bottom>
      <diagonal/>
    </border>
    <border>
      <left/>
      <right style="medium">
        <color theme="1"/>
      </right>
      <top style="medium">
        <color theme="1"/>
      </top>
      <bottom style="thin">
        <color theme="1"/>
      </bottom>
      <diagonal/>
    </border>
    <border>
      <left style="medium">
        <color theme="1"/>
      </left>
      <right style="thin">
        <color theme="1"/>
      </right>
      <top/>
      <bottom style="thin">
        <color theme="1"/>
      </bottom>
      <diagonal/>
    </border>
    <border>
      <left style="thin">
        <color theme="1"/>
      </left>
      <right style="medium">
        <color theme="1"/>
      </right>
      <top/>
      <bottom/>
      <diagonal/>
    </border>
    <border>
      <left style="thin">
        <color theme="1"/>
      </left>
      <right style="medium">
        <color theme="1"/>
      </right>
      <top/>
      <bottom style="thin">
        <color theme="1"/>
      </bottom>
      <diagonal/>
    </border>
    <border>
      <left/>
      <right style="medium">
        <color theme="1"/>
      </right>
      <top style="medium">
        <color indexed="64"/>
      </top>
      <bottom style="medium">
        <color indexed="64"/>
      </bottom>
      <diagonal/>
    </border>
    <border>
      <left style="thin">
        <color indexed="64"/>
      </left>
      <right/>
      <top style="medium">
        <color theme="1"/>
      </top>
      <bottom style="medium">
        <color indexed="64"/>
      </bottom>
      <diagonal/>
    </border>
    <border>
      <left/>
      <right style="thin">
        <color theme="1"/>
      </right>
      <top/>
      <bottom style="thin">
        <color theme="1"/>
      </bottom>
      <diagonal/>
    </border>
    <border>
      <left style="medium">
        <color theme="1"/>
      </left>
      <right/>
      <top/>
      <bottom style="thin">
        <color theme="1"/>
      </bottom>
      <diagonal/>
    </border>
    <border>
      <left/>
      <right/>
      <top/>
      <bottom style="thin">
        <color theme="1"/>
      </bottom>
      <diagonal/>
    </border>
    <border>
      <left style="medium">
        <color theme="1"/>
      </left>
      <right style="thin">
        <color theme="1"/>
      </right>
      <top style="medium">
        <color theme="1"/>
      </top>
      <bottom/>
      <diagonal/>
    </border>
    <border>
      <left style="medium">
        <color indexed="64"/>
      </left>
      <right style="thin">
        <color theme="1"/>
      </right>
      <top/>
      <bottom style="thin">
        <color theme="1"/>
      </bottom>
      <diagonal/>
    </border>
    <border>
      <left style="thin">
        <color theme="1"/>
      </left>
      <right/>
      <top/>
      <bottom style="thin">
        <color theme="1"/>
      </bottom>
      <diagonal/>
    </border>
    <border>
      <left style="medium">
        <color theme="1"/>
      </left>
      <right style="medium">
        <color indexed="64"/>
      </right>
      <top style="medium">
        <color indexed="64"/>
      </top>
      <bottom style="medium">
        <color indexed="64"/>
      </bottom>
      <diagonal/>
    </border>
    <border>
      <left style="medium">
        <color indexed="64"/>
      </left>
      <right style="thin">
        <color theme="1"/>
      </right>
      <top style="medium">
        <color indexed="64"/>
      </top>
      <bottom style="medium">
        <color theme="1"/>
      </bottom>
      <diagonal/>
    </border>
    <border>
      <left style="thin">
        <color theme="1"/>
      </left>
      <right style="thin">
        <color theme="1"/>
      </right>
      <top style="medium">
        <color indexed="64"/>
      </top>
      <bottom style="medium">
        <color theme="1"/>
      </bottom>
      <diagonal/>
    </border>
    <border>
      <left style="thin">
        <color theme="1"/>
      </left>
      <right style="medium">
        <color indexed="64"/>
      </right>
      <top style="medium">
        <color indexed="64"/>
      </top>
      <bottom style="medium">
        <color theme="1"/>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style="medium">
        <color indexed="64"/>
      </left>
      <right style="medium">
        <color indexed="64"/>
      </right>
      <top/>
      <bottom style="medium">
        <color indexed="64"/>
      </bottom>
      <diagonal/>
    </border>
    <border>
      <left/>
      <right style="thin">
        <color theme="1"/>
      </right>
      <top style="thin">
        <color theme="1"/>
      </top>
      <bottom style="thin">
        <color theme="1"/>
      </bottom>
      <diagonal/>
    </border>
    <border>
      <left/>
      <right style="thin">
        <color theme="1"/>
      </right>
      <top style="thin">
        <color theme="1"/>
      </top>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thin">
        <color theme="1"/>
      </left>
      <right style="medium">
        <color indexed="64"/>
      </right>
      <top style="thin">
        <color theme="1"/>
      </top>
      <bottom style="thin">
        <color theme="1"/>
      </bottom>
      <diagonal/>
    </border>
    <border>
      <left style="thin">
        <color theme="1"/>
      </left>
      <right style="thin">
        <color indexed="64"/>
      </right>
      <top style="thin">
        <color indexed="64"/>
      </top>
      <bottom style="medium">
        <color indexed="64"/>
      </bottom>
      <diagonal/>
    </border>
    <border>
      <left style="medium">
        <color theme="1"/>
      </left>
      <right style="thin">
        <color theme="1"/>
      </right>
      <top style="thin">
        <color theme="1"/>
      </top>
      <bottom style="medium">
        <color indexed="64"/>
      </bottom>
      <diagonal/>
    </border>
    <border>
      <left style="thin">
        <color theme="1"/>
      </left>
      <right/>
      <top style="thin">
        <color theme="1"/>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theme="4" tint="0.39997558519241921"/>
      </bottom>
      <diagonal/>
    </border>
    <border>
      <left style="medium">
        <color rgb="FF00B0F0"/>
      </left>
      <right style="thin">
        <color indexed="64"/>
      </right>
      <top style="medium">
        <color rgb="FF00B0F0"/>
      </top>
      <bottom style="thin">
        <color indexed="64"/>
      </bottom>
      <diagonal/>
    </border>
    <border>
      <left style="thin">
        <color indexed="64"/>
      </left>
      <right style="thin">
        <color indexed="64"/>
      </right>
      <top style="medium">
        <color rgb="FF00B0F0"/>
      </top>
      <bottom style="thin">
        <color indexed="64"/>
      </bottom>
      <diagonal/>
    </border>
    <border>
      <left/>
      <right style="thin">
        <color indexed="64"/>
      </right>
      <top style="medium">
        <color rgb="FF00B0F0"/>
      </top>
      <bottom style="thin">
        <color indexed="64"/>
      </bottom>
      <diagonal/>
    </border>
    <border>
      <left style="medium">
        <color rgb="FF00B0F0"/>
      </left>
      <right style="thin">
        <color indexed="64"/>
      </right>
      <top style="thin">
        <color indexed="64"/>
      </top>
      <bottom style="thin">
        <color indexed="64"/>
      </bottom>
      <diagonal/>
    </border>
    <border>
      <left style="medium">
        <color rgb="FF00B0F0"/>
      </left>
      <right style="thin">
        <color indexed="64"/>
      </right>
      <top style="thin">
        <color indexed="64"/>
      </top>
      <bottom/>
      <diagonal/>
    </border>
    <border>
      <left style="medium">
        <color rgb="FF00B0F0"/>
      </left>
      <right style="thin">
        <color indexed="64"/>
      </right>
      <top style="thin">
        <color indexed="64"/>
      </top>
      <bottom style="medium">
        <color rgb="FF00B0F0"/>
      </bottom>
      <diagonal/>
    </border>
    <border>
      <left style="thin">
        <color indexed="64"/>
      </left>
      <right style="thin">
        <color indexed="64"/>
      </right>
      <top style="thin">
        <color indexed="64"/>
      </top>
      <bottom style="medium">
        <color rgb="FF00B0F0"/>
      </bottom>
      <diagonal/>
    </border>
    <border>
      <left/>
      <right style="thin">
        <color indexed="64"/>
      </right>
      <top style="thin">
        <color indexed="64"/>
      </top>
      <bottom style="medium">
        <color rgb="FF00B0F0"/>
      </bottom>
      <diagonal/>
    </border>
    <border>
      <left style="thin">
        <color indexed="64"/>
      </left>
      <right/>
      <top style="medium">
        <color rgb="FF00B0F0"/>
      </top>
      <bottom style="thin">
        <color indexed="64"/>
      </bottom>
      <diagonal/>
    </border>
    <border>
      <left style="thin">
        <color indexed="64"/>
      </left>
      <right/>
      <top style="thin">
        <color indexed="64"/>
      </top>
      <bottom style="medium">
        <color rgb="FF00B0F0"/>
      </bottom>
      <diagonal/>
    </border>
    <border>
      <left style="medium">
        <color rgb="FFFFC000"/>
      </left>
      <right style="thin">
        <color indexed="64"/>
      </right>
      <top style="medium">
        <color rgb="FFFFC000"/>
      </top>
      <bottom style="thin">
        <color indexed="64"/>
      </bottom>
      <diagonal/>
    </border>
    <border>
      <left style="thin">
        <color indexed="64"/>
      </left>
      <right style="thin">
        <color indexed="64"/>
      </right>
      <top style="medium">
        <color rgb="FFFFC000"/>
      </top>
      <bottom style="thin">
        <color indexed="64"/>
      </bottom>
      <diagonal/>
    </border>
    <border>
      <left style="medium">
        <color rgb="FFFFC000"/>
      </left>
      <right style="thin">
        <color indexed="64"/>
      </right>
      <top style="thin">
        <color indexed="64"/>
      </top>
      <bottom style="medium">
        <color rgb="FFFFC000"/>
      </bottom>
      <diagonal/>
    </border>
    <border>
      <left style="thin">
        <color indexed="64"/>
      </left>
      <right style="thin">
        <color indexed="64"/>
      </right>
      <top style="thin">
        <color indexed="64"/>
      </top>
      <bottom style="medium">
        <color rgb="FFFFC000"/>
      </bottom>
      <diagonal/>
    </border>
    <border>
      <left style="thin">
        <color indexed="64"/>
      </left>
      <right/>
      <top style="medium">
        <color rgb="FFFFC000"/>
      </top>
      <bottom style="thin">
        <color indexed="64"/>
      </bottom>
      <diagonal/>
    </border>
    <border>
      <left style="thin">
        <color indexed="64"/>
      </left>
      <right/>
      <top style="thin">
        <color indexed="64"/>
      </top>
      <bottom style="medium">
        <color rgb="FFFFC000"/>
      </bottom>
      <diagonal/>
    </border>
    <border>
      <left style="medium">
        <color rgb="FFFFC000"/>
      </left>
      <right/>
      <top style="thin">
        <color indexed="64"/>
      </top>
      <bottom style="thin">
        <color indexed="64"/>
      </bottom>
      <diagonal/>
    </border>
    <border>
      <left style="medium">
        <color rgb="FFFFC000"/>
      </left>
      <right/>
      <top style="thin">
        <color indexed="64"/>
      </top>
      <bottom/>
      <diagonal/>
    </border>
    <border>
      <left style="thin">
        <color theme="1"/>
      </left>
      <right style="thin">
        <color theme="1"/>
      </right>
      <top style="thin">
        <color theme="1"/>
      </top>
      <bottom style="thin">
        <color indexed="64"/>
      </bottom>
      <diagonal/>
    </border>
    <border>
      <left style="thin">
        <color theme="1"/>
      </left>
      <right style="thin">
        <color theme="1"/>
      </right>
      <top style="thin">
        <color indexed="64"/>
      </top>
      <bottom/>
      <diagonal/>
    </border>
    <border>
      <left style="thin">
        <color theme="1"/>
      </left>
      <right style="thin">
        <color theme="1"/>
      </right>
      <top style="thin">
        <color indexed="64"/>
      </top>
      <bottom style="thin">
        <color indexed="64"/>
      </bottom>
      <diagonal/>
    </border>
    <border>
      <left style="thin">
        <color theme="1"/>
      </left>
      <right style="thin">
        <color theme="1"/>
      </right>
      <top style="thin">
        <color indexed="64"/>
      </top>
      <bottom style="thin">
        <color theme="1"/>
      </bottom>
      <diagonal/>
    </border>
    <border>
      <left/>
      <right style="thin">
        <color theme="1"/>
      </right>
      <top style="thin">
        <color theme="1"/>
      </top>
      <bottom style="thin">
        <color indexed="64"/>
      </bottom>
      <diagonal/>
    </border>
    <border>
      <left/>
      <right style="thin">
        <color theme="1"/>
      </right>
      <top style="thin">
        <color indexed="64"/>
      </top>
      <bottom style="thin">
        <color indexed="64"/>
      </bottom>
      <diagonal/>
    </border>
    <border>
      <left/>
      <right style="thin">
        <color theme="1"/>
      </right>
      <top style="thin">
        <color indexed="64"/>
      </top>
      <bottom/>
      <diagonal/>
    </border>
    <border>
      <left style="medium">
        <color rgb="FFFFC000"/>
      </left>
      <right/>
      <top style="medium">
        <color rgb="FFFFC000"/>
      </top>
      <bottom style="thin">
        <color indexed="64"/>
      </bottom>
      <diagonal/>
    </border>
    <border>
      <left style="thin">
        <color theme="1"/>
      </left>
      <right style="thin">
        <color indexed="64"/>
      </right>
      <top style="medium">
        <color rgb="FFFFC000"/>
      </top>
      <bottom style="thin">
        <color indexed="64"/>
      </bottom>
      <diagonal/>
    </border>
    <border>
      <left style="thin">
        <color indexed="64"/>
      </left>
      <right/>
      <top style="medium">
        <color rgb="FFFFC000"/>
      </top>
      <bottom/>
      <diagonal/>
    </border>
    <border>
      <left style="medium">
        <color theme="7"/>
      </left>
      <right style="thin">
        <color theme="1"/>
      </right>
      <top style="thin">
        <color theme="1"/>
      </top>
      <bottom style="thin">
        <color theme="1"/>
      </bottom>
      <diagonal/>
    </border>
    <border>
      <left style="thin">
        <color theme="1"/>
      </left>
      <right style="thin">
        <color indexed="64"/>
      </right>
      <top style="medium">
        <color theme="7"/>
      </top>
      <bottom style="thin">
        <color theme="1"/>
      </bottom>
      <diagonal/>
    </border>
    <border>
      <left style="thin">
        <color indexed="64"/>
      </left>
      <right/>
      <top style="medium">
        <color theme="7"/>
      </top>
      <bottom style="thin">
        <color indexed="64"/>
      </bottom>
      <diagonal/>
    </border>
    <border>
      <left style="thin">
        <color indexed="64"/>
      </left>
      <right style="thin">
        <color theme="1"/>
      </right>
      <top style="thin">
        <color theme="1"/>
      </top>
      <bottom style="medium">
        <color rgb="FFFFC000"/>
      </bottom>
      <diagonal/>
    </border>
    <border>
      <left/>
      <right style="thin">
        <color indexed="64"/>
      </right>
      <top/>
      <bottom style="medium">
        <color rgb="FFFFC000"/>
      </bottom>
      <diagonal/>
    </border>
    <border>
      <left style="thin">
        <color indexed="64"/>
      </left>
      <right style="thin">
        <color theme="1"/>
      </right>
      <top style="thin">
        <color indexed="64"/>
      </top>
      <bottom style="medium">
        <color theme="7"/>
      </bottom>
      <diagonal/>
    </border>
    <border>
      <left/>
      <right style="thin">
        <color indexed="64"/>
      </right>
      <top/>
      <bottom style="medium">
        <color theme="7"/>
      </bottom>
      <diagonal/>
    </border>
    <border>
      <left style="medium">
        <color rgb="FF00B0F0"/>
      </left>
      <right/>
      <top style="medium">
        <color rgb="FF00B0F0"/>
      </top>
      <bottom style="thin">
        <color indexed="64"/>
      </bottom>
      <diagonal/>
    </border>
    <border>
      <left style="medium">
        <color rgb="FF00B0F0"/>
      </left>
      <right/>
      <top style="thin">
        <color indexed="64"/>
      </top>
      <bottom style="thin">
        <color indexed="64"/>
      </bottom>
      <diagonal/>
    </border>
    <border>
      <left/>
      <right/>
      <top style="medium">
        <color theme="7"/>
      </top>
      <bottom style="thin">
        <color indexed="64"/>
      </bottom>
      <diagonal/>
    </border>
    <border>
      <left/>
      <right style="medium">
        <color rgb="FFFFC000"/>
      </right>
      <top style="thin">
        <color indexed="64"/>
      </top>
      <bottom style="thin">
        <color indexed="64"/>
      </bottom>
      <diagonal/>
    </border>
    <border>
      <left style="thin">
        <color indexed="64"/>
      </left>
      <right/>
      <top style="medium">
        <color rgb="FF00B0F0"/>
      </top>
      <bottom/>
      <diagonal/>
    </border>
    <border>
      <left style="thin">
        <color theme="1"/>
      </left>
      <right style="thin">
        <color indexed="64"/>
      </right>
      <top style="medium">
        <color rgb="FF00B0F0"/>
      </top>
      <bottom/>
      <diagonal/>
    </border>
    <border>
      <left style="thin">
        <color indexed="64"/>
      </left>
      <right style="thin">
        <color indexed="64"/>
      </right>
      <top style="medium">
        <color rgb="FF00B0F0"/>
      </top>
      <bottom/>
      <diagonal/>
    </border>
    <border>
      <left style="thin">
        <color indexed="64"/>
      </left>
      <right style="thin">
        <color theme="1"/>
      </right>
      <top style="thin">
        <color theme="1"/>
      </top>
      <bottom style="thin">
        <color indexed="64"/>
      </bottom>
      <diagonal/>
    </border>
    <border>
      <left style="thin">
        <color indexed="64"/>
      </left>
      <right style="thin">
        <color theme="1"/>
      </right>
      <top style="thin">
        <color indexed="64"/>
      </top>
      <bottom style="thin">
        <color indexed="64"/>
      </bottom>
      <diagonal/>
    </border>
    <border>
      <left/>
      <right style="thin">
        <color indexed="64"/>
      </right>
      <top style="thin">
        <color theme="1"/>
      </top>
      <bottom style="thin">
        <color indexed="64"/>
      </bottom>
      <diagonal/>
    </border>
    <border>
      <left style="thin">
        <color theme="1"/>
      </left>
      <right style="thin">
        <color indexed="64"/>
      </right>
      <top style="medium">
        <color rgb="FFFFC000"/>
      </top>
      <bottom/>
      <diagonal/>
    </border>
    <border>
      <left/>
      <right style="thin">
        <color indexed="64"/>
      </right>
      <top style="thin">
        <color theme="1"/>
      </top>
      <bottom style="thin">
        <color theme="1"/>
      </bottom>
      <diagonal/>
    </border>
    <border>
      <left style="thin">
        <color theme="1"/>
      </left>
      <right style="thin">
        <color indexed="64"/>
      </right>
      <top style="medium">
        <color theme="7"/>
      </top>
      <bottom style="thin">
        <color indexed="64"/>
      </bottom>
      <diagonal/>
    </border>
    <border>
      <left style="medium">
        <color rgb="FF00B0F0"/>
      </left>
      <right/>
      <top style="thin">
        <color indexed="64"/>
      </top>
      <bottom/>
      <diagonal/>
    </border>
    <border>
      <left style="thin">
        <color theme="1"/>
      </left>
      <right style="thin">
        <color indexed="64"/>
      </right>
      <top style="thin">
        <color indexed="64"/>
      </top>
      <bottom style="thin">
        <color theme="1"/>
      </bottom>
      <diagonal/>
    </border>
    <border>
      <left style="medium">
        <color rgb="FF00B0F0"/>
      </left>
      <right/>
      <top style="thin">
        <color theme="1"/>
      </top>
      <bottom style="thin">
        <color indexed="64"/>
      </bottom>
      <diagonal/>
    </border>
    <border>
      <left style="medium">
        <color rgb="FFFFC000"/>
      </left>
      <right style="thin">
        <color theme="1"/>
      </right>
      <top style="thin">
        <color theme="1"/>
      </top>
      <bottom style="thin">
        <color indexed="64"/>
      </bottom>
      <diagonal/>
    </border>
    <border>
      <left/>
      <right/>
      <top style="thin">
        <color theme="1"/>
      </top>
      <bottom/>
      <diagonal/>
    </border>
    <border>
      <left style="medium">
        <color rgb="FF00B0F0"/>
      </left>
      <right style="thin">
        <color theme="1"/>
      </right>
      <top style="medium">
        <color rgb="FF00B0F0"/>
      </top>
      <bottom style="thin">
        <color theme="1"/>
      </bottom>
      <diagonal/>
    </border>
    <border>
      <left style="thin">
        <color theme="1"/>
      </left>
      <right style="thin">
        <color theme="1"/>
      </right>
      <top style="medium">
        <color rgb="FF00B0F0"/>
      </top>
      <bottom style="thin">
        <color theme="1"/>
      </bottom>
      <diagonal/>
    </border>
    <border>
      <left style="medium">
        <color rgb="FF00B0F0"/>
      </left>
      <right style="thin">
        <color theme="1"/>
      </right>
      <top style="thin">
        <color theme="1"/>
      </top>
      <bottom style="thin">
        <color theme="1"/>
      </bottom>
      <diagonal/>
    </border>
    <border>
      <left style="medium">
        <color rgb="FF00B0F0"/>
      </left>
      <right style="thin">
        <color theme="1"/>
      </right>
      <top style="thin">
        <color theme="1"/>
      </top>
      <bottom style="medium">
        <color rgb="FF00B0F0"/>
      </bottom>
      <diagonal/>
    </border>
    <border>
      <left style="thin">
        <color theme="1"/>
      </left>
      <right style="thin">
        <color theme="1"/>
      </right>
      <top style="thin">
        <color theme="1"/>
      </top>
      <bottom style="medium">
        <color rgb="FF00B0F0"/>
      </bottom>
      <diagonal/>
    </border>
    <border>
      <left style="thin">
        <color theme="1"/>
      </left>
      <right/>
      <top style="medium">
        <color rgb="FF00B0F0"/>
      </top>
      <bottom style="thin">
        <color theme="1"/>
      </bottom>
      <diagonal/>
    </border>
    <border>
      <left style="medium">
        <color rgb="FFFFC000"/>
      </left>
      <right style="thin">
        <color theme="1"/>
      </right>
      <top style="medium">
        <color rgb="FFFFC000"/>
      </top>
      <bottom style="thin">
        <color theme="1"/>
      </bottom>
      <diagonal/>
    </border>
    <border>
      <left style="thin">
        <color theme="1"/>
      </left>
      <right style="thin">
        <color theme="1"/>
      </right>
      <top style="medium">
        <color rgb="FFFFC000"/>
      </top>
      <bottom style="thin">
        <color theme="1"/>
      </bottom>
      <diagonal/>
    </border>
    <border>
      <left style="medium">
        <color rgb="FFFFC000"/>
      </left>
      <right style="thin">
        <color theme="1"/>
      </right>
      <top style="thin">
        <color theme="1"/>
      </top>
      <bottom style="thin">
        <color theme="1"/>
      </bottom>
      <diagonal/>
    </border>
    <border>
      <left style="thin">
        <color theme="1"/>
      </left>
      <right/>
      <top style="thin">
        <color theme="1"/>
      </top>
      <bottom style="medium">
        <color rgb="FF00B0F0"/>
      </bottom>
      <diagonal/>
    </border>
    <border>
      <left style="medium">
        <color rgb="FFFFC000"/>
      </left>
      <right style="thin">
        <color theme="1"/>
      </right>
      <top style="thin">
        <color theme="1"/>
      </top>
      <bottom style="medium">
        <color rgb="FFFFC000"/>
      </bottom>
      <diagonal/>
    </border>
    <border>
      <left style="thin">
        <color theme="1"/>
      </left>
      <right style="thin">
        <color theme="1"/>
      </right>
      <top style="thin">
        <color theme="1"/>
      </top>
      <bottom style="medium">
        <color rgb="FFFFC000"/>
      </bottom>
      <diagonal/>
    </border>
    <border>
      <left style="thin">
        <color theme="1"/>
      </left>
      <right/>
      <top style="medium">
        <color rgb="FFFFC000"/>
      </top>
      <bottom style="thin">
        <color theme="1"/>
      </bottom>
      <diagonal/>
    </border>
    <border>
      <left style="medium">
        <color theme="7"/>
      </left>
      <right style="thin">
        <color theme="1"/>
      </right>
      <top style="medium">
        <color theme="7"/>
      </top>
      <bottom style="thin">
        <color theme="1"/>
      </bottom>
      <diagonal/>
    </border>
    <border>
      <left style="thin">
        <color theme="1"/>
      </left>
      <right style="thin">
        <color theme="1"/>
      </right>
      <top style="medium">
        <color theme="7"/>
      </top>
      <bottom style="thin">
        <color theme="1"/>
      </bottom>
      <diagonal/>
    </border>
    <border>
      <left style="thin">
        <color theme="1"/>
      </left>
      <right style="medium">
        <color theme="7"/>
      </right>
      <top style="medium">
        <color theme="7"/>
      </top>
      <bottom style="thin">
        <color theme="1"/>
      </bottom>
      <diagonal/>
    </border>
    <border>
      <left style="thin">
        <color theme="1"/>
      </left>
      <right style="medium">
        <color theme="7"/>
      </right>
      <top style="thin">
        <color theme="1"/>
      </top>
      <bottom style="thin">
        <color theme="1"/>
      </bottom>
      <diagonal/>
    </border>
    <border>
      <left style="thin">
        <color theme="1"/>
      </left>
      <right/>
      <top style="thin">
        <color theme="1"/>
      </top>
      <bottom style="medium">
        <color rgb="FFFFC000"/>
      </bottom>
      <diagonal/>
    </border>
    <border>
      <left style="medium">
        <color theme="7"/>
      </left>
      <right style="thin">
        <color theme="1"/>
      </right>
      <top style="thin">
        <color theme="1"/>
      </top>
      <bottom style="medium">
        <color theme="7"/>
      </bottom>
      <diagonal/>
    </border>
    <border>
      <left style="thin">
        <color theme="1"/>
      </left>
      <right style="thin">
        <color theme="1"/>
      </right>
      <top style="thin">
        <color theme="1"/>
      </top>
      <bottom style="medium">
        <color theme="7"/>
      </bottom>
      <diagonal/>
    </border>
    <border>
      <left style="thin">
        <color theme="1"/>
      </left>
      <right style="medium">
        <color theme="7"/>
      </right>
      <top style="thin">
        <color theme="1"/>
      </top>
      <bottom style="medium">
        <color theme="7"/>
      </bottom>
      <diagonal/>
    </border>
    <border>
      <left style="medium">
        <color rgb="FFFFC000"/>
      </left>
      <right style="thin">
        <color theme="1"/>
      </right>
      <top style="thin">
        <color theme="1"/>
      </top>
      <bottom/>
      <diagonal/>
    </border>
    <border>
      <left/>
      <right style="thin">
        <color indexed="64"/>
      </right>
      <top/>
      <bottom/>
      <diagonal/>
    </border>
    <border>
      <left style="thin">
        <color indexed="64"/>
      </left>
      <right style="medium">
        <color rgb="FFFFC000"/>
      </right>
      <top style="thin">
        <color theme="1"/>
      </top>
      <bottom style="thin">
        <color indexed="64"/>
      </bottom>
      <diagonal/>
    </border>
    <border>
      <left style="thin">
        <color theme="1"/>
      </left>
      <right style="medium">
        <color rgb="FFFFC000"/>
      </right>
      <top style="medium">
        <color rgb="FFFFC000"/>
      </top>
      <bottom/>
      <diagonal/>
    </border>
    <border>
      <left style="thin">
        <color indexed="64"/>
      </left>
      <right style="medium">
        <color rgb="FF00B050"/>
      </right>
      <top style="thin">
        <color indexed="64"/>
      </top>
      <bottom/>
      <diagonal/>
    </border>
    <border>
      <left style="thin">
        <color theme="1"/>
      </left>
      <right style="medium">
        <color rgb="FF00B050"/>
      </right>
      <top style="thin">
        <color theme="1"/>
      </top>
      <bottom style="medium">
        <color rgb="FF00B050"/>
      </bottom>
      <diagonal/>
    </border>
    <border>
      <left style="medium">
        <color theme="1"/>
      </left>
      <right/>
      <top style="medium">
        <color indexed="64"/>
      </top>
      <bottom/>
      <diagonal/>
    </border>
    <border>
      <left style="medium">
        <color theme="1"/>
      </left>
      <right style="medium">
        <color indexed="64"/>
      </right>
      <top style="medium">
        <color indexed="64"/>
      </top>
      <bottom/>
      <diagonal/>
    </border>
  </borders>
  <cellStyleXfs count="103">
    <xf numFmtId="0" fontId="0" fillId="0" borderId="0"/>
    <xf numFmtId="9" fontId="3" fillId="0" borderId="0" applyFont="0" applyFill="0" applyBorder="0" applyAlignment="0" applyProtection="0"/>
    <xf numFmtId="0" fontId="5" fillId="0" borderId="0"/>
    <xf numFmtId="166" fontId="6" fillId="0" borderId="0" applyFill="0" applyBorder="0" applyAlignment="0" applyProtection="0"/>
    <xf numFmtId="0" fontId="6" fillId="0" borderId="0"/>
    <xf numFmtId="0" fontId="7" fillId="5" borderId="0" applyBorder="0" applyAlignment="0" applyProtection="0"/>
    <xf numFmtId="0" fontId="8" fillId="0" borderId="0" applyNumberFormat="0" applyFill="0" applyBorder="0" applyAlignment="0" applyProtection="0"/>
    <xf numFmtId="166" fontId="6" fillId="0" borderId="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0" fontId="27" fillId="0" borderId="0"/>
    <xf numFmtId="0" fontId="27" fillId="0" borderId="44"/>
    <xf numFmtId="0" fontId="27" fillId="13" borderId="0"/>
    <xf numFmtId="0" fontId="28" fillId="14" borderId="0"/>
    <xf numFmtId="0" fontId="27" fillId="15" borderId="0"/>
    <xf numFmtId="0" fontId="29" fillId="16" borderId="0"/>
    <xf numFmtId="0" fontId="30" fillId="13" borderId="0"/>
    <xf numFmtId="0" fontId="27" fillId="17" borderId="0"/>
    <xf numFmtId="0" fontId="27" fillId="0" borderId="44"/>
    <xf numFmtId="0" fontId="27" fillId="0" borderId="0"/>
    <xf numFmtId="0" fontId="27" fillId="0" borderId="0"/>
    <xf numFmtId="0" fontId="27" fillId="0" borderId="0"/>
    <xf numFmtId="0" fontId="27" fillId="18" borderId="44"/>
    <xf numFmtId="0" fontId="27" fillId="0" borderId="0"/>
    <xf numFmtId="0" fontId="27" fillId="19" borderId="44"/>
    <xf numFmtId="0" fontId="27" fillId="2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19" borderId="44"/>
    <xf numFmtId="170" fontId="31" fillId="0" borderId="0"/>
    <xf numFmtId="9" fontId="27" fillId="0" borderId="0"/>
    <xf numFmtId="0" fontId="32" fillId="13" borderId="0"/>
    <xf numFmtId="0" fontId="33" fillId="13" borderId="0"/>
    <xf numFmtId="0" fontId="27" fillId="0" borderId="0"/>
    <xf numFmtId="0" fontId="27" fillId="0" borderId="0"/>
    <xf numFmtId="0" fontId="27" fillId="0" borderId="0"/>
    <xf numFmtId="0" fontId="27" fillId="0" borderId="0"/>
    <xf numFmtId="0" fontId="27" fillId="18" borderId="44"/>
    <xf numFmtId="0" fontId="27" fillId="0" borderId="0"/>
    <xf numFmtId="0" fontId="27" fillId="0" borderId="0"/>
    <xf numFmtId="0" fontId="27" fillId="20" borderId="44"/>
    <xf numFmtId="0" fontId="27" fillId="0" borderId="0"/>
    <xf numFmtId="169" fontId="27" fillId="13" borderId="44">
      <protection locked="0"/>
    </xf>
    <xf numFmtId="0" fontId="34" fillId="13" borderId="0"/>
    <xf numFmtId="0" fontId="35" fillId="13" borderId="0"/>
    <xf numFmtId="0" fontId="36" fillId="0" borderId="0">
      <alignment horizontal="center"/>
    </xf>
    <xf numFmtId="0" fontId="36" fillId="0" borderId="0">
      <alignment horizontal="center" textRotation="90"/>
    </xf>
    <xf numFmtId="0" fontId="27" fillId="0" borderId="0"/>
    <xf numFmtId="0" fontId="37" fillId="0" borderId="0"/>
    <xf numFmtId="0" fontId="38" fillId="0" borderId="0"/>
    <xf numFmtId="0" fontId="28" fillId="14" borderId="45"/>
    <xf numFmtId="0" fontId="39" fillId="0" borderId="0"/>
    <xf numFmtId="171" fontId="40" fillId="0" borderId="0"/>
    <xf numFmtId="0" fontId="41" fillId="0" borderId="0"/>
    <xf numFmtId="0" fontId="28" fillId="0" borderId="45"/>
    <xf numFmtId="0" fontId="31" fillId="0" borderId="0"/>
    <xf numFmtId="0" fontId="27" fillId="0" borderId="0"/>
    <xf numFmtId="0" fontId="27" fillId="0" borderId="0"/>
    <xf numFmtId="0" fontId="42" fillId="0" borderId="0"/>
    <xf numFmtId="0" fontId="3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9" fontId="31" fillId="0" borderId="0"/>
    <xf numFmtId="0" fontId="33" fillId="13" borderId="0"/>
    <xf numFmtId="0" fontId="38" fillId="13" borderId="0"/>
    <xf numFmtId="0" fontId="43" fillId="0" borderId="0"/>
    <xf numFmtId="169" fontId="43" fillId="0" borderId="0"/>
    <xf numFmtId="0" fontId="44" fillId="13" borderId="0"/>
    <xf numFmtId="0" fontId="45" fillId="0" borderId="0"/>
    <xf numFmtId="0" fontId="27" fillId="0" borderId="0"/>
    <xf numFmtId="0" fontId="27" fillId="21" borderId="0"/>
    <xf numFmtId="0" fontId="27" fillId="22" borderId="0"/>
    <xf numFmtId="0" fontId="27" fillId="23" borderId="0"/>
    <xf numFmtId="0" fontId="27" fillId="24" borderId="0"/>
    <xf numFmtId="0" fontId="27" fillId="25" borderId="0"/>
    <xf numFmtId="0" fontId="27" fillId="14" borderId="45"/>
    <xf numFmtId="0" fontId="27" fillId="0" borderId="0"/>
    <xf numFmtId="0" fontId="27" fillId="18" borderId="44">
      <alignment horizontal="center" vertical="center"/>
    </xf>
    <xf numFmtId="0" fontId="46" fillId="17" borderId="46"/>
    <xf numFmtId="0" fontId="46" fillId="17" borderId="47"/>
    <xf numFmtId="0" fontId="28" fillId="14" borderId="48"/>
    <xf numFmtId="0" fontId="27" fillId="0" borderId="0"/>
    <xf numFmtId="0" fontId="27" fillId="0" borderId="0"/>
    <xf numFmtId="0" fontId="27" fillId="0" borderId="0"/>
    <xf numFmtId="166" fontId="3" fillId="0" borderId="0" applyFont="0" applyFill="0" applyBorder="0" applyAlignment="0" applyProtection="0"/>
    <xf numFmtId="0" fontId="6" fillId="0" borderId="0"/>
  </cellStyleXfs>
  <cellXfs count="1198">
    <xf numFmtId="0" fontId="0" fillId="0" borderId="0" xfId="0"/>
    <xf numFmtId="0" fontId="4" fillId="0" borderId="0" xfId="0" applyFont="1"/>
    <xf numFmtId="0" fontId="14" fillId="9" borderId="14" xfId="0" applyFont="1" applyFill="1" applyBorder="1" applyAlignment="1">
      <alignment horizontal="center" vertical="center" wrapText="1"/>
    </xf>
    <xf numFmtId="0" fontId="4" fillId="0" borderId="0" xfId="0" applyFont="1" applyAlignment="1">
      <alignment wrapText="1"/>
    </xf>
    <xf numFmtId="0" fontId="14" fillId="9" borderId="1"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51" fillId="11"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9" fontId="4" fillId="0" borderId="2" xfId="0" applyNumberFormat="1" applyFont="1" applyBorder="1" applyAlignment="1" applyProtection="1">
      <alignment horizontal="center" vertical="center" wrapText="1"/>
      <protection locked="0"/>
    </xf>
    <xf numFmtId="3" fontId="4" fillId="6" borderId="14" xfId="102" applyNumberFormat="1" applyFont="1" applyFill="1" applyBorder="1" applyAlignment="1" applyProtection="1">
      <alignment horizontal="center" vertical="center" wrapText="1"/>
      <protection locked="0"/>
    </xf>
    <xf numFmtId="168" fontId="4" fillId="0" borderId="1" xfId="0" applyNumberFormat="1" applyFont="1" applyBorder="1" applyAlignment="1" applyProtection="1">
      <alignment horizontal="center" vertical="center" wrapText="1"/>
      <protection locked="0"/>
    </xf>
    <xf numFmtId="0" fontId="4" fillId="6" borderId="14" xfId="0" applyFont="1" applyFill="1" applyBorder="1" applyAlignment="1" applyProtection="1">
      <alignment horizontal="center" vertical="center" wrapText="1"/>
      <protection locked="0"/>
    </xf>
    <xf numFmtId="9" fontId="4" fillId="0" borderId="1" xfId="0" applyNumberFormat="1" applyFont="1" applyBorder="1" applyAlignment="1" applyProtection="1">
      <alignment horizontal="center" vertical="center" wrapText="1"/>
      <protection locked="0"/>
    </xf>
    <xf numFmtId="14" fontId="4" fillId="6" borderId="14" xfId="0" applyNumberFormat="1" applyFont="1" applyFill="1" applyBorder="1" applyAlignment="1" applyProtection="1">
      <alignment horizontal="center" vertical="center" wrapText="1"/>
      <protection locked="0"/>
    </xf>
    <xf numFmtId="168" fontId="4" fillId="6" borderId="14" xfId="101" applyNumberFormat="1" applyFont="1" applyFill="1" applyBorder="1" applyAlignment="1" applyProtection="1">
      <alignment horizontal="right" vertical="center" wrapText="1"/>
      <protection locked="0"/>
    </xf>
    <xf numFmtId="168" fontId="4" fillId="6" borderId="1" xfId="1" applyNumberFormat="1" applyFont="1" applyFill="1" applyBorder="1" applyAlignment="1" applyProtection="1">
      <alignment horizontal="right" vertical="center" wrapText="1"/>
      <protection locked="0"/>
    </xf>
    <xf numFmtId="9" fontId="4" fillId="6" borderId="1" xfId="102" applyNumberFormat="1" applyFont="1" applyFill="1" applyBorder="1" applyAlignment="1" applyProtection="1">
      <alignment horizontal="center" vertical="center" wrapText="1"/>
      <protection locked="0"/>
    </xf>
    <xf numFmtId="168" fontId="4" fillId="0" borderId="68" xfId="0" applyNumberFormat="1" applyFont="1" applyBorder="1" applyAlignment="1" applyProtection="1">
      <alignment horizontal="center" vertical="center" wrapText="1"/>
      <protection locked="0"/>
    </xf>
    <xf numFmtId="9" fontId="4" fillId="0" borderId="1" xfId="1" applyFont="1" applyBorder="1" applyAlignment="1" applyProtection="1">
      <alignment horizontal="center" vertical="center" wrapText="1"/>
      <protection locked="0"/>
    </xf>
    <xf numFmtId="0" fontId="13" fillId="0" borderId="31" xfId="0" applyFont="1" applyBorder="1" applyAlignment="1" applyProtection="1">
      <alignment horizontal="center" vertical="center" wrapText="1"/>
      <protection locked="0"/>
    </xf>
    <xf numFmtId="0" fontId="14" fillId="10" borderId="14" xfId="0" applyFont="1" applyFill="1" applyBorder="1" applyAlignment="1">
      <alignment horizontal="center" vertical="center" wrapText="1"/>
    </xf>
    <xf numFmtId="0" fontId="14" fillId="10" borderId="1" xfId="0" applyFont="1" applyFill="1" applyBorder="1" applyAlignment="1">
      <alignment horizontal="center" vertical="center" wrapText="1"/>
    </xf>
    <xf numFmtId="0" fontId="51"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0" borderId="9" xfId="0" applyFont="1" applyBorder="1" applyAlignment="1" applyProtection="1">
      <alignment horizontal="center" vertical="center"/>
      <protection locked="0"/>
    </xf>
    <xf numFmtId="0" fontId="2" fillId="0" borderId="85" xfId="0" applyFont="1" applyBorder="1" applyAlignment="1" applyProtection="1">
      <alignment horizontal="center" vertical="center" wrapText="1"/>
      <protection locked="0"/>
    </xf>
    <xf numFmtId="0" fontId="4" fillId="8" borderId="16" xfId="0" applyFont="1" applyFill="1" applyBorder="1" applyAlignment="1">
      <alignment horizontal="center" vertical="center" wrapText="1"/>
    </xf>
    <xf numFmtId="1" fontId="4" fillId="0" borderId="1" xfId="0" applyNumberFormat="1" applyFont="1" applyBorder="1" applyAlignment="1" applyProtection="1">
      <alignment horizontal="center" vertical="center" wrapText="1"/>
      <protection locked="0"/>
    </xf>
    <xf numFmtId="1" fontId="4" fillId="0" borderId="2" xfId="0" applyNumberFormat="1" applyFont="1" applyBorder="1" applyAlignment="1" applyProtection="1">
      <alignment horizontal="center" vertical="center" wrapText="1"/>
      <protection locked="0"/>
    </xf>
    <xf numFmtId="49" fontId="4" fillId="0" borderId="1" xfId="0" applyNumberFormat="1" applyFont="1" applyBorder="1" applyAlignment="1" applyProtection="1">
      <alignment horizontal="center" vertical="center" wrapText="1"/>
      <protection locked="0"/>
    </xf>
    <xf numFmtId="0" fontId="51" fillId="9" borderId="14" xfId="0" applyFont="1" applyFill="1" applyBorder="1" applyAlignment="1">
      <alignment horizontal="center" vertical="center" wrapText="1"/>
    </xf>
    <xf numFmtId="168" fontId="4" fillId="4" borderId="1" xfId="0" applyNumberFormat="1" applyFont="1" applyFill="1" applyBorder="1" applyAlignment="1">
      <alignment horizontal="center" vertical="center" wrapText="1"/>
    </xf>
    <xf numFmtId="168" fontId="4" fillId="4" borderId="15" xfId="0" applyNumberFormat="1" applyFont="1" applyFill="1" applyBorder="1" applyAlignment="1">
      <alignment horizontal="center" vertical="center"/>
    </xf>
    <xf numFmtId="0" fontId="4" fillId="6" borderId="14" xfId="102" applyFont="1" applyFill="1" applyBorder="1" applyAlignment="1" applyProtection="1">
      <alignment horizontal="center" vertical="center" wrapText="1"/>
      <protection locked="0"/>
    </xf>
    <xf numFmtId="0" fontId="4" fillId="6" borderId="14" xfId="1" applyNumberFormat="1" applyFont="1" applyFill="1" applyBorder="1" applyAlignment="1" applyProtection="1">
      <alignment horizontal="right" vertical="center" wrapText="1"/>
      <protection locked="0"/>
    </xf>
    <xf numFmtId="1" fontId="0" fillId="6" borderId="1" xfId="0" applyNumberFormat="1" applyFill="1" applyBorder="1" applyAlignment="1" applyProtection="1">
      <alignment horizontal="center" vertical="center" wrapText="1"/>
      <protection locked="0"/>
    </xf>
    <xf numFmtId="0" fontId="4" fillId="6" borderId="1" xfId="0"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49" fontId="4" fillId="0" borderId="14" xfId="0" applyNumberFormat="1" applyFont="1" applyBorder="1" applyAlignment="1" applyProtection="1">
      <alignment horizontal="center" vertical="center" wrapText="1"/>
      <protection locked="0"/>
    </xf>
    <xf numFmtId="2" fontId="4" fillId="0" borderId="1" xfId="0" applyNumberFormat="1" applyFont="1" applyBorder="1" applyAlignment="1" applyProtection="1">
      <alignment horizontal="center" vertical="center" wrapText="1"/>
      <protection locked="0"/>
    </xf>
    <xf numFmtId="0" fontId="51" fillId="10" borderId="14" xfId="0" applyFont="1" applyFill="1" applyBorder="1" applyAlignment="1">
      <alignment horizontal="center" vertical="center" wrapText="1"/>
    </xf>
    <xf numFmtId="0" fontId="0" fillId="0" borderId="7" xfId="0" applyBorder="1" applyAlignment="1">
      <alignment vertical="center"/>
    </xf>
    <xf numFmtId="0" fontId="0" fillId="0" borderId="21" xfId="0" applyBorder="1" applyAlignment="1">
      <alignment vertical="center"/>
    </xf>
    <xf numFmtId="0" fontId="0" fillId="0" borderId="0" xfId="0" applyAlignment="1">
      <alignment vertical="center"/>
    </xf>
    <xf numFmtId="0" fontId="0" fillId="0" borderId="22" xfId="0" applyBorder="1" applyAlignment="1">
      <alignment vertical="center"/>
    </xf>
    <xf numFmtId="0" fontId="18" fillId="0" borderId="8" xfId="0" applyFont="1" applyBorder="1" applyAlignment="1">
      <alignment vertical="center"/>
    </xf>
    <xf numFmtId="0" fontId="18" fillId="0" borderId="0" xfId="0" applyFont="1" applyAlignment="1">
      <alignment vertical="center"/>
    </xf>
    <xf numFmtId="0" fontId="18" fillId="0" borderId="0" xfId="0" applyFont="1" applyAlignment="1">
      <alignment horizontal="center" vertical="center"/>
    </xf>
    <xf numFmtId="0" fontId="18" fillId="0" borderId="22" xfId="0" applyFont="1" applyBorder="1" applyAlignment="1">
      <alignment vertical="center"/>
    </xf>
    <xf numFmtId="0" fontId="19" fillId="0" borderId="0" xfId="0" applyFont="1" applyAlignment="1">
      <alignment horizontal="center" vertical="center"/>
    </xf>
    <xf numFmtId="0" fontId="19" fillId="0" borderId="22" xfId="0" applyFont="1" applyBorder="1" applyAlignment="1">
      <alignment horizontal="center" vertical="center"/>
    </xf>
    <xf numFmtId="0" fontId="0" fillId="0" borderId="8" xfId="0" applyBorder="1" applyAlignment="1">
      <alignment vertical="center"/>
    </xf>
    <xf numFmtId="0" fontId="0" fillId="0" borderId="4" xfId="0" applyBorder="1" applyAlignment="1">
      <alignment vertical="center"/>
    </xf>
    <xf numFmtId="0" fontId="17" fillId="0" borderId="4" xfId="0" applyFont="1" applyBorder="1" applyAlignment="1">
      <alignment vertical="center"/>
    </xf>
    <xf numFmtId="0" fontId="0" fillId="0" borderId="24" xfId="0" applyBorder="1" applyAlignment="1">
      <alignment vertical="center"/>
    </xf>
    <xf numFmtId="0" fontId="12" fillId="10" borderId="27" xfId="0" applyFont="1" applyFill="1" applyBorder="1" applyAlignment="1">
      <alignment horizontal="center" vertical="center" wrapText="1"/>
    </xf>
    <xf numFmtId="0" fontId="12" fillId="10" borderId="20" xfId="0" applyFont="1" applyFill="1" applyBorder="1" applyAlignment="1">
      <alignment horizontal="center" vertical="center" wrapText="1"/>
    </xf>
    <xf numFmtId="0" fontId="12" fillId="11" borderId="52" xfId="0" applyFont="1" applyFill="1" applyBorder="1" applyAlignment="1">
      <alignment horizontal="center" vertical="center" wrapText="1"/>
    </xf>
    <xf numFmtId="0" fontId="13" fillId="11" borderId="28" xfId="0" applyFont="1" applyFill="1" applyBorder="1" applyAlignment="1">
      <alignment horizontal="center" vertical="center" wrapText="1"/>
    </xf>
    <xf numFmtId="0" fontId="13" fillId="11" borderId="14" xfId="0" applyFont="1" applyFill="1" applyBorder="1" applyAlignment="1">
      <alignment horizontal="center" vertical="center" wrapText="1"/>
    </xf>
    <xf numFmtId="0" fontId="13" fillId="11" borderId="34" xfId="0" applyFont="1" applyFill="1" applyBorder="1" applyAlignment="1">
      <alignment horizontal="center" vertical="center" wrapText="1"/>
    </xf>
    <xf numFmtId="0" fontId="0" fillId="0" borderId="1" xfId="0" applyBorder="1" applyAlignment="1">
      <alignment horizontal="center" vertical="center"/>
    </xf>
    <xf numFmtId="0" fontId="12" fillId="11" borderId="3" xfId="0" applyFont="1" applyFill="1" applyBorder="1" applyAlignment="1">
      <alignment horizontal="center" vertical="center" wrapText="1"/>
    </xf>
    <xf numFmtId="0" fontId="13" fillId="11" borderId="15" xfId="0" applyFont="1" applyFill="1" applyBorder="1" applyAlignment="1">
      <alignment horizontal="center" vertical="center" wrapText="1"/>
    </xf>
    <xf numFmtId="0" fontId="13" fillId="11" borderId="3" xfId="0" applyFont="1" applyFill="1" applyBorder="1" applyAlignment="1">
      <alignment horizontal="center" vertical="top" wrapText="1"/>
    </xf>
    <xf numFmtId="0" fontId="13" fillId="11" borderId="3" xfId="0" applyFont="1" applyFill="1" applyBorder="1" applyAlignment="1">
      <alignment horizontal="center" vertical="center" wrapText="1"/>
    </xf>
    <xf numFmtId="0" fontId="13" fillId="11" borderId="38" xfId="0" applyFont="1" applyFill="1" applyBorder="1" applyAlignment="1">
      <alignment horizontal="center" vertical="center" wrapText="1"/>
    </xf>
    <xf numFmtId="0" fontId="13" fillId="11" borderId="18" xfId="0" applyFont="1" applyFill="1" applyBorder="1" applyAlignment="1">
      <alignment horizontal="center" vertical="center" wrapText="1"/>
    </xf>
    <xf numFmtId="0" fontId="13" fillId="11" borderId="50" xfId="0" applyFont="1" applyFill="1" applyBorder="1" applyAlignment="1">
      <alignment horizontal="center" vertical="center" wrapText="1"/>
    </xf>
    <xf numFmtId="0" fontId="13" fillId="11" borderId="53" xfId="0" applyFont="1" applyFill="1" applyBorder="1" applyAlignment="1">
      <alignment horizontal="center" vertical="center" wrapText="1"/>
    </xf>
    <xf numFmtId="0" fontId="0" fillId="0" borderId="0" xfId="0" applyAlignment="1">
      <alignment horizontal="center" vertical="center"/>
    </xf>
    <xf numFmtId="0" fontId="13" fillId="11" borderId="55" xfId="0" applyFont="1" applyFill="1" applyBorder="1" applyAlignment="1">
      <alignment horizontal="center" vertical="center" wrapText="1"/>
    </xf>
    <xf numFmtId="0" fontId="51" fillId="10" borderId="5" xfId="0" applyFont="1" applyFill="1" applyBorder="1" applyAlignment="1">
      <alignment horizontal="center" vertical="center" wrapText="1"/>
    </xf>
    <xf numFmtId="0" fontId="51" fillId="10" borderId="25" xfId="0" applyFont="1" applyFill="1" applyBorder="1" applyAlignment="1">
      <alignment horizontal="center" vertical="center" wrapText="1"/>
    </xf>
    <xf numFmtId="0" fontId="51" fillId="10" borderId="86" xfId="0" applyFont="1" applyFill="1" applyBorder="1" applyAlignment="1">
      <alignment horizontal="center" vertical="center" wrapText="1"/>
    </xf>
    <xf numFmtId="0" fontId="51" fillId="9" borderId="28" xfId="0" applyFont="1" applyFill="1" applyBorder="1" applyAlignment="1">
      <alignment horizontal="center" vertical="center" wrapText="1"/>
    </xf>
    <xf numFmtId="0" fontId="51" fillId="9" borderId="5" xfId="0" applyFont="1" applyFill="1" applyBorder="1" applyAlignment="1">
      <alignment horizontal="center" vertical="center" wrapText="1"/>
    </xf>
    <xf numFmtId="0" fontId="4" fillId="0" borderId="0" xfId="0" applyFont="1" applyAlignment="1">
      <alignment vertical="center"/>
    </xf>
    <xf numFmtId="0" fontId="14" fillId="10" borderId="2" xfId="0" applyFont="1" applyFill="1" applyBorder="1" applyAlignment="1">
      <alignment horizontal="center" vertical="center" wrapText="1"/>
    </xf>
    <xf numFmtId="0" fontId="14" fillId="10" borderId="65" xfId="0" applyFont="1" applyFill="1" applyBorder="1" applyAlignment="1">
      <alignment horizontal="center" vertical="center" wrapText="1"/>
    </xf>
    <xf numFmtId="0" fontId="14" fillId="10" borderId="66" xfId="0" applyFont="1" applyFill="1" applyBorder="1" applyAlignment="1">
      <alignment horizontal="center" vertical="center" wrapText="1"/>
    </xf>
    <xf numFmtId="0" fontId="14" fillId="10" borderId="9" xfId="0" applyFont="1" applyFill="1" applyBorder="1" applyAlignment="1">
      <alignment horizontal="center" vertical="center" wrapText="1"/>
    </xf>
    <xf numFmtId="0" fontId="14" fillId="10" borderId="81" xfId="0" applyFont="1" applyFill="1" applyBorder="1" applyAlignment="1">
      <alignment horizontal="center" vertical="center" wrapText="1"/>
    </xf>
    <xf numFmtId="0" fontId="14" fillId="10" borderId="82" xfId="0" applyFont="1" applyFill="1" applyBorder="1" applyAlignment="1">
      <alignment horizontal="center" vertical="center" wrapText="1"/>
    </xf>
    <xf numFmtId="0" fontId="14" fillId="10" borderId="85" xfId="0" applyFont="1" applyFill="1" applyBorder="1" applyAlignment="1">
      <alignment horizontal="center" vertical="center" wrapText="1"/>
    </xf>
    <xf numFmtId="0" fontId="14" fillId="9" borderId="3" xfId="0" applyFont="1" applyFill="1" applyBorder="1" applyAlignment="1">
      <alignment horizontal="center" vertical="center" wrapText="1"/>
    </xf>
    <xf numFmtId="0" fontId="14" fillId="9" borderId="2" xfId="0" applyFont="1" applyFill="1" applyBorder="1" applyAlignment="1">
      <alignment horizontal="center" vertical="center" wrapText="1"/>
    </xf>
    <xf numFmtId="0" fontId="14" fillId="11" borderId="11" xfId="0" applyFont="1" applyFill="1" applyBorder="1" applyAlignment="1">
      <alignment horizontal="center" vertical="center" wrapText="1"/>
    </xf>
    <xf numFmtId="9" fontId="14" fillId="11" borderId="11" xfId="0" applyNumberFormat="1" applyFont="1" applyFill="1" applyBorder="1" applyAlignment="1">
      <alignment horizontal="center" vertical="center" wrapText="1"/>
    </xf>
    <xf numFmtId="1" fontId="14" fillId="11" borderId="11" xfId="0" applyNumberFormat="1" applyFont="1" applyFill="1" applyBorder="1" applyAlignment="1">
      <alignment horizontal="center" vertical="center" wrapText="1"/>
    </xf>
    <xf numFmtId="2" fontId="14" fillId="11" borderId="11" xfId="0" applyNumberFormat="1" applyFont="1" applyFill="1" applyBorder="1" applyAlignment="1">
      <alignment horizontal="center" vertical="center" wrapText="1"/>
    </xf>
    <xf numFmtId="0" fontId="14" fillId="11" borderId="58" xfId="0" applyFont="1" applyFill="1" applyBorder="1" applyAlignment="1">
      <alignment horizontal="center" vertical="center" wrapText="1"/>
    </xf>
    <xf numFmtId="168" fontId="14" fillId="11" borderId="11" xfId="0" applyNumberFormat="1" applyFont="1" applyFill="1" applyBorder="1" applyAlignment="1">
      <alignment horizontal="center" vertical="center" wrapText="1"/>
    </xf>
    <xf numFmtId="168" fontId="4" fillId="11" borderId="2" xfId="0" applyNumberFormat="1" applyFont="1" applyFill="1" applyBorder="1" applyAlignment="1">
      <alignment horizontal="center" vertical="center" wrapText="1"/>
    </xf>
    <xf numFmtId="168" fontId="0" fillId="11" borderId="66" xfId="0" applyNumberFormat="1" applyFill="1" applyBorder="1" applyAlignment="1">
      <alignment horizontal="center" vertical="center"/>
    </xf>
    <xf numFmtId="168" fontId="14" fillId="11" borderId="56" xfId="0" applyNumberFormat="1" applyFont="1" applyFill="1" applyBorder="1" applyAlignment="1">
      <alignment horizontal="center" vertical="center"/>
    </xf>
    <xf numFmtId="49" fontId="14" fillId="11" borderId="84" xfId="0" applyNumberFormat="1" applyFont="1" applyFill="1" applyBorder="1" applyAlignment="1">
      <alignment horizontal="center" vertical="center" wrapText="1"/>
    </xf>
    <xf numFmtId="0" fontId="4" fillId="11" borderId="3" xfId="0" applyFont="1" applyFill="1" applyBorder="1" applyAlignment="1">
      <alignment horizontal="center" vertical="center" wrapText="1"/>
    </xf>
    <xf numFmtId="10" fontId="4" fillId="11" borderId="1" xfId="0" applyNumberFormat="1" applyFont="1" applyFill="1" applyBorder="1" applyAlignment="1">
      <alignment horizontal="center" vertical="center" wrapText="1"/>
    </xf>
    <xf numFmtId="2" fontId="4" fillId="11" borderId="1" xfId="0" applyNumberFormat="1" applyFont="1" applyFill="1" applyBorder="1" applyAlignment="1">
      <alignment horizontal="center" vertical="center" wrapText="1"/>
    </xf>
    <xf numFmtId="0" fontId="4" fillId="11" borderId="2" xfId="0" applyFont="1" applyFill="1" applyBorder="1" applyAlignment="1">
      <alignment horizontal="center" vertical="center" wrapText="1"/>
    </xf>
    <xf numFmtId="168" fontId="4" fillId="11" borderId="1" xfId="0" applyNumberFormat="1" applyFont="1" applyFill="1" applyBorder="1" applyAlignment="1">
      <alignment horizontal="center" vertical="center" wrapText="1"/>
    </xf>
    <xf numFmtId="168" fontId="4" fillId="11" borderId="66" xfId="0" applyNumberFormat="1" applyFont="1" applyFill="1" applyBorder="1" applyAlignment="1">
      <alignment horizontal="center" vertical="center" wrapText="1"/>
    </xf>
    <xf numFmtId="168" fontId="4" fillId="11" borderId="1" xfId="0" applyNumberFormat="1" applyFont="1" applyFill="1" applyBorder="1" applyAlignment="1">
      <alignment horizontal="center" vertical="center"/>
    </xf>
    <xf numFmtId="168" fontId="9" fillId="11" borderId="1" xfId="0" applyNumberFormat="1" applyFont="1" applyFill="1" applyBorder="1" applyAlignment="1">
      <alignment horizontal="center" vertical="center" wrapText="1"/>
    </xf>
    <xf numFmtId="0" fontId="14" fillId="0" borderId="0" xfId="0" applyFont="1"/>
    <xf numFmtId="168" fontId="4" fillId="4" borderId="2" xfId="0" applyNumberFormat="1" applyFont="1" applyFill="1" applyBorder="1" applyAlignment="1">
      <alignment horizontal="center" vertical="center" wrapText="1"/>
    </xf>
    <xf numFmtId="168" fontId="0" fillId="4" borderId="66" xfId="0" applyNumberFormat="1" applyFill="1" applyBorder="1" applyAlignment="1">
      <alignment horizontal="center" vertical="center"/>
    </xf>
    <xf numFmtId="0" fontId="4" fillId="4" borderId="3" xfId="0" applyFont="1" applyFill="1" applyBorder="1" applyAlignment="1">
      <alignment horizontal="center" vertical="center" wrapText="1"/>
    </xf>
    <xf numFmtId="10" fontId="4" fillId="4" borderId="1" xfId="0" applyNumberFormat="1" applyFont="1" applyFill="1" applyBorder="1" applyAlignment="1">
      <alignment horizontal="center" vertical="center" wrapText="1"/>
    </xf>
    <xf numFmtId="2" fontId="4" fillId="4" borderId="1" xfId="0" applyNumberFormat="1" applyFont="1" applyFill="1" applyBorder="1" applyAlignment="1">
      <alignment horizontal="center" vertical="center" wrapText="1"/>
    </xf>
    <xf numFmtId="168" fontId="4" fillId="4" borderId="66" xfId="0" applyNumberFormat="1" applyFont="1" applyFill="1" applyBorder="1" applyAlignment="1">
      <alignment horizontal="center" vertical="center" wrapText="1"/>
    </xf>
    <xf numFmtId="168" fontId="4" fillId="4"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0" xfId="0" applyAlignment="1">
      <alignment wrapText="1"/>
    </xf>
    <xf numFmtId="0" fontId="16" fillId="0" borderId="0" xfId="0" applyFont="1" applyAlignment="1">
      <alignment vertical="center"/>
    </xf>
    <xf numFmtId="168" fontId="47" fillId="2" borderId="14" xfId="0" applyNumberFormat="1" applyFont="1" applyFill="1" applyBorder="1" applyAlignment="1">
      <alignment vertical="center"/>
    </xf>
    <xf numFmtId="0" fontId="2" fillId="2" borderId="63" xfId="0" applyFont="1" applyFill="1" applyBorder="1" applyAlignment="1">
      <alignment horizontal="right" vertical="center"/>
    </xf>
    <xf numFmtId="168" fontId="2" fillId="2" borderId="2" xfId="0" applyNumberFormat="1" applyFont="1" applyFill="1" applyBorder="1" applyAlignment="1">
      <alignment vertical="center"/>
    </xf>
    <xf numFmtId="168" fontId="2" fillId="2" borderId="9" xfId="0" applyNumberFormat="1" applyFont="1" applyFill="1" applyBorder="1" applyAlignment="1">
      <alignment vertical="center"/>
    </xf>
    <xf numFmtId="0" fontId="51" fillId="10" borderId="1" xfId="0" applyFont="1" applyFill="1" applyBorder="1" applyAlignment="1">
      <alignment horizontal="center" vertical="center" wrapText="1"/>
    </xf>
    <xf numFmtId="0" fontId="51" fillId="10" borderId="2" xfId="0" applyFont="1" applyFill="1" applyBorder="1" applyAlignment="1">
      <alignment horizontal="center" vertical="center" wrapText="1"/>
    </xf>
    <xf numFmtId="0" fontId="51" fillId="10" borderId="59" xfId="0" applyFont="1" applyFill="1" applyBorder="1" applyAlignment="1">
      <alignment horizontal="center" vertical="center" wrapText="1"/>
    </xf>
    <xf numFmtId="0" fontId="51" fillId="10" borderId="60" xfId="0" applyFont="1" applyFill="1" applyBorder="1" applyAlignment="1">
      <alignment horizontal="center" vertical="center" wrapText="1"/>
    </xf>
    <xf numFmtId="0" fontId="51" fillId="10" borderId="61" xfId="0" applyFont="1" applyFill="1" applyBorder="1" applyAlignment="1">
      <alignment horizontal="center" vertical="center" wrapText="1"/>
    </xf>
    <xf numFmtId="0" fontId="51" fillId="10" borderId="76" xfId="0" applyFont="1" applyFill="1" applyBorder="1" applyAlignment="1">
      <alignment horizontal="center" vertical="center" wrapText="1"/>
    </xf>
    <xf numFmtId="0" fontId="51" fillId="10" borderId="77" xfId="0" applyFont="1" applyFill="1" applyBorder="1" applyAlignment="1">
      <alignment horizontal="center" vertical="center" wrapText="1"/>
    </xf>
    <xf numFmtId="0" fontId="51" fillId="10" borderId="78" xfId="0" applyFont="1" applyFill="1" applyBorder="1" applyAlignment="1">
      <alignment horizontal="center" vertical="center" wrapText="1"/>
    </xf>
    <xf numFmtId="0" fontId="51" fillId="9" borderId="1" xfId="0" applyFont="1" applyFill="1" applyBorder="1" applyAlignment="1">
      <alignment horizontal="center" vertical="center" wrapText="1"/>
    </xf>
    <xf numFmtId="0" fontId="51" fillId="9" borderId="60" xfId="0" applyFont="1" applyFill="1" applyBorder="1" applyAlignment="1">
      <alignment horizontal="center" vertical="center" wrapText="1"/>
    </xf>
    <xf numFmtId="0" fontId="51" fillId="9" borderId="61" xfId="0" applyFont="1" applyFill="1" applyBorder="1" applyAlignment="1">
      <alignment horizontal="center" vertical="center" wrapText="1"/>
    </xf>
    <xf numFmtId="0" fontId="51" fillId="9" borderId="3" xfId="0" applyFont="1" applyFill="1" applyBorder="1" applyAlignment="1">
      <alignment horizontal="center" vertical="center" wrapText="1"/>
    </xf>
    <xf numFmtId="0" fontId="14" fillId="10" borderId="5" xfId="0" applyFont="1" applyFill="1" applyBorder="1" applyAlignment="1">
      <alignment horizontal="center" vertical="center" wrapText="1"/>
    </xf>
    <xf numFmtId="0" fontId="14" fillId="10" borderId="79" xfId="0" applyFont="1" applyFill="1" applyBorder="1" applyAlignment="1">
      <alignment horizontal="center" vertical="center" wrapText="1"/>
    </xf>
    <xf numFmtId="0" fontId="14" fillId="10" borderId="57" xfId="0" applyFont="1" applyFill="1" applyBorder="1" applyAlignment="1">
      <alignment horizontal="center" vertical="center" wrapText="1"/>
    </xf>
    <xf numFmtId="0" fontId="14" fillId="10" borderId="80" xfId="0" applyFont="1" applyFill="1" applyBorder="1" applyAlignment="1">
      <alignment horizontal="center" vertical="center" wrapText="1"/>
    </xf>
    <xf numFmtId="0" fontId="14" fillId="11" borderId="1" xfId="0" applyFont="1" applyFill="1" applyBorder="1" applyAlignment="1">
      <alignment horizontal="center" vertical="center" wrapText="1"/>
    </xf>
    <xf numFmtId="49" fontId="4" fillId="11" borderId="1" xfId="0" applyNumberFormat="1" applyFont="1" applyFill="1" applyBorder="1" applyAlignment="1">
      <alignment horizontal="center" vertical="center" wrapText="1"/>
    </xf>
    <xf numFmtId="2" fontId="14" fillId="11" borderId="1" xfId="0" applyNumberFormat="1" applyFont="1" applyFill="1" applyBorder="1" applyAlignment="1">
      <alignment horizontal="center" vertical="center" wrapText="1"/>
    </xf>
    <xf numFmtId="0" fontId="4" fillId="11" borderId="83" xfId="0" applyFont="1" applyFill="1" applyBorder="1" applyAlignment="1">
      <alignment horizontal="center" vertical="center" wrapText="1"/>
    </xf>
    <xf numFmtId="168" fontId="47" fillId="2" borderId="1" xfId="0" applyNumberFormat="1" applyFont="1" applyFill="1" applyBorder="1" applyAlignment="1">
      <alignment vertical="center"/>
    </xf>
    <xf numFmtId="0" fontId="0" fillId="2" borderId="56" xfId="0" applyFill="1" applyBorder="1" applyAlignment="1">
      <alignment horizontal="center"/>
    </xf>
    <xf numFmtId="9" fontId="14" fillId="11" borderId="1" xfId="0" applyNumberFormat="1" applyFont="1" applyFill="1" applyBorder="1" applyAlignment="1">
      <alignment horizontal="center" vertical="center" wrapText="1"/>
    </xf>
    <xf numFmtId="168" fontId="14" fillId="11" borderId="1" xfId="0" applyNumberFormat="1" applyFont="1" applyFill="1" applyBorder="1" applyAlignment="1">
      <alignment horizontal="center" vertical="center" wrapText="1"/>
    </xf>
    <xf numFmtId="0" fontId="2" fillId="2" borderId="25" xfId="0" applyFont="1" applyFill="1" applyBorder="1" applyAlignment="1">
      <alignment vertical="center"/>
    </xf>
    <xf numFmtId="0" fontId="2" fillId="2" borderId="2" xfId="0" applyFont="1" applyFill="1" applyBorder="1" applyAlignment="1">
      <alignment horizontal="right" vertical="center"/>
    </xf>
    <xf numFmtId="0" fontId="2" fillId="2" borderId="28" xfId="0" applyFont="1" applyFill="1" applyBorder="1" applyAlignment="1">
      <alignment vertical="center"/>
    </xf>
    <xf numFmtId="168" fontId="47" fillId="2" borderId="14" xfId="0" applyNumberFormat="1" applyFont="1" applyFill="1" applyBorder="1" applyAlignment="1">
      <alignment horizontal="center" vertical="center"/>
    </xf>
    <xf numFmtId="166" fontId="2" fillId="2" borderId="25" xfId="0" applyNumberFormat="1" applyFont="1" applyFill="1" applyBorder="1" applyAlignment="1">
      <alignment horizontal="center" vertical="center"/>
    </xf>
    <xf numFmtId="0" fontId="2" fillId="2" borderId="63" xfId="0" applyFont="1" applyFill="1" applyBorder="1" applyAlignment="1">
      <alignment horizontal="center" vertical="center"/>
    </xf>
    <xf numFmtId="0" fontId="0" fillId="0" borderId="0" xfId="0" applyAlignment="1">
      <alignment horizontal="center"/>
    </xf>
    <xf numFmtId="0" fontId="14" fillId="11" borderId="49" xfId="0" applyFont="1" applyFill="1" applyBorder="1" applyAlignment="1">
      <alignment horizontal="center" vertical="center" wrapText="1"/>
    </xf>
    <xf numFmtId="49" fontId="4" fillId="11" borderId="31" xfId="0" applyNumberFormat="1" applyFont="1" applyFill="1" applyBorder="1" applyAlignment="1">
      <alignment horizontal="center" vertical="center" wrapText="1"/>
    </xf>
    <xf numFmtId="14" fontId="4" fillId="4" borderId="1" xfId="0" applyNumberFormat="1" applyFont="1" applyFill="1" applyBorder="1" applyAlignment="1">
      <alignment horizontal="center" vertical="center" wrapText="1"/>
    </xf>
    <xf numFmtId="168" fontId="2" fillId="2" borderId="25" xfId="0" applyNumberFormat="1" applyFont="1" applyFill="1" applyBorder="1" applyAlignment="1">
      <alignment vertical="center"/>
    </xf>
    <xf numFmtId="0" fontId="2" fillId="2" borderId="25" xfId="0" applyFont="1" applyFill="1" applyBorder="1" applyAlignment="1">
      <alignment horizontal="right" vertical="center"/>
    </xf>
    <xf numFmtId="168" fontId="14" fillId="4" borderId="1" xfId="1" applyNumberFormat="1" applyFont="1" applyFill="1" applyBorder="1" applyAlignment="1" applyProtection="1">
      <alignment horizontal="center" vertical="center" wrapText="1"/>
    </xf>
    <xf numFmtId="168" fontId="9" fillId="4" borderId="1" xfId="1" applyNumberFormat="1" applyFont="1" applyFill="1" applyBorder="1" applyAlignment="1" applyProtection="1">
      <alignment horizontal="right" vertical="center" wrapText="1"/>
    </xf>
    <xf numFmtId="0" fontId="2" fillId="2" borderId="9" xfId="0" applyFont="1" applyFill="1" applyBorder="1" applyAlignment="1">
      <alignment vertical="center" wrapText="1"/>
    </xf>
    <xf numFmtId="168" fontId="2" fillId="2" borderId="9" xfId="0" applyNumberFormat="1" applyFont="1" applyFill="1" applyBorder="1" applyAlignment="1">
      <alignment vertical="center" wrapText="1"/>
    </xf>
    <xf numFmtId="0" fontId="0" fillId="0" borderId="0" xfId="0" applyAlignment="1">
      <alignment horizontal="center" wrapText="1"/>
    </xf>
    <xf numFmtId="2" fontId="4" fillId="4" borderId="1" xfId="1" applyNumberFormat="1" applyFont="1" applyFill="1" applyBorder="1" applyAlignment="1" applyProtection="1">
      <alignment horizontal="center" vertical="center" wrapText="1"/>
    </xf>
    <xf numFmtId="0" fontId="16" fillId="0" borderId="0" xfId="0" applyFont="1"/>
    <xf numFmtId="164" fontId="0" fillId="0" borderId="0" xfId="0" applyNumberFormat="1"/>
    <xf numFmtId="164" fontId="0" fillId="0" borderId="0" xfId="0" applyNumberFormat="1" applyAlignment="1">
      <alignment vertical="center"/>
    </xf>
    <xf numFmtId="0" fontId="0" fillId="0" borderId="0" xfId="0" applyProtection="1">
      <protection hidden="1"/>
    </xf>
    <xf numFmtId="0" fontId="8" fillId="0" borderId="0" xfId="6" quotePrefix="1" applyBorder="1" applyAlignment="1" applyProtection="1">
      <alignment vertical="center"/>
      <protection hidden="1"/>
    </xf>
    <xf numFmtId="0" fontId="16" fillId="0" borderId="0" xfId="0" applyFont="1" applyProtection="1">
      <protection hidden="1"/>
    </xf>
    <xf numFmtId="0" fontId="2" fillId="0" borderId="0" xfId="0" applyFont="1" applyAlignment="1" applyProtection="1">
      <alignment vertical="center" wrapText="1"/>
      <protection hidden="1"/>
    </xf>
    <xf numFmtId="0" fontId="4" fillId="4" borderId="3" xfId="1" applyNumberFormat="1" applyFont="1" applyFill="1" applyBorder="1" applyAlignment="1" applyProtection="1">
      <alignment horizontal="center" vertical="center" wrapText="1"/>
    </xf>
    <xf numFmtId="0" fontId="51" fillId="10" borderId="34" xfId="0" applyFont="1" applyFill="1" applyBorder="1" applyAlignment="1">
      <alignment horizontal="center" vertical="center" wrapText="1"/>
    </xf>
    <xf numFmtId="0" fontId="14" fillId="10" borderId="15" xfId="0" applyFont="1" applyFill="1" applyBorder="1" applyAlignment="1">
      <alignment horizontal="center" vertical="center" wrapText="1"/>
    </xf>
    <xf numFmtId="0" fontId="51" fillId="11" borderId="16" xfId="0" applyFont="1" applyFill="1" applyBorder="1" applyAlignment="1">
      <alignment horizontal="center" vertical="center"/>
    </xf>
    <xf numFmtId="0" fontId="14" fillId="11" borderId="15" xfId="0" applyFont="1" applyFill="1" applyBorder="1" applyAlignment="1">
      <alignment horizontal="center" vertical="center" wrapText="1"/>
    </xf>
    <xf numFmtId="0" fontId="4" fillId="8" borderId="16" xfId="0" applyFont="1" applyFill="1" applyBorder="1" applyAlignment="1">
      <alignment horizontal="center" vertical="center"/>
    </xf>
    <xf numFmtId="0" fontId="4" fillId="0" borderId="15" xfId="0" applyFont="1" applyBorder="1" applyAlignment="1" applyProtection="1">
      <alignment horizontal="center" vertical="center"/>
      <protection locked="0"/>
    </xf>
    <xf numFmtId="0" fontId="2" fillId="2" borderId="23" xfId="0" applyFont="1" applyFill="1" applyBorder="1" applyAlignment="1">
      <alignment vertical="center"/>
    </xf>
    <xf numFmtId="0" fontId="2" fillId="2" borderId="4" xfId="0" applyFont="1" applyFill="1" applyBorder="1" applyAlignment="1">
      <alignment vertical="center"/>
    </xf>
    <xf numFmtId="0" fontId="2" fillId="2" borderId="4" xfId="0" applyFont="1" applyFill="1" applyBorder="1" applyAlignment="1">
      <alignment horizontal="right" vertical="center"/>
    </xf>
    <xf numFmtId="168" fontId="2" fillId="2" borderId="4" xfId="0" applyNumberFormat="1" applyFont="1" applyFill="1" applyBorder="1" applyAlignment="1">
      <alignment vertical="center"/>
    </xf>
    <xf numFmtId="0" fontId="2" fillId="2" borderId="24" xfId="0" applyFont="1" applyFill="1" applyBorder="1" applyAlignment="1">
      <alignment vertical="center"/>
    </xf>
    <xf numFmtId="0" fontId="51" fillId="9" borderId="90" xfId="0" applyFont="1" applyFill="1" applyBorder="1" applyAlignment="1">
      <alignment horizontal="center" vertical="center" wrapText="1"/>
    </xf>
    <xf numFmtId="0" fontId="51" fillId="11" borderId="16" xfId="0" applyFont="1" applyFill="1" applyBorder="1" applyAlignment="1">
      <alignment horizontal="center" vertical="center" wrapText="1"/>
    </xf>
    <xf numFmtId="2" fontId="14" fillId="11" borderId="15" xfId="0" applyNumberFormat="1" applyFont="1" applyFill="1" applyBorder="1" applyAlignment="1">
      <alignment horizontal="center" vertical="center" wrapText="1"/>
    </xf>
    <xf numFmtId="0" fontId="2" fillId="2" borderId="36" xfId="0" applyFont="1" applyFill="1" applyBorder="1" applyAlignment="1">
      <alignment vertical="center" wrapText="1"/>
    </xf>
    <xf numFmtId="0" fontId="2" fillId="2" borderId="37" xfId="0" applyFont="1" applyFill="1" applyBorder="1" applyAlignment="1">
      <alignment vertical="center" wrapText="1"/>
    </xf>
    <xf numFmtId="168" fontId="2" fillId="2" borderId="37" xfId="0" applyNumberFormat="1" applyFont="1" applyFill="1" applyBorder="1" applyAlignment="1">
      <alignment vertical="center" wrapText="1"/>
    </xf>
    <xf numFmtId="0" fontId="2" fillId="2" borderId="91" xfId="0" applyFont="1" applyFill="1" applyBorder="1" applyAlignment="1">
      <alignment vertical="center" wrapText="1"/>
    </xf>
    <xf numFmtId="0" fontId="14" fillId="9" borderId="28" xfId="0" applyFont="1" applyFill="1" applyBorder="1" applyAlignment="1">
      <alignment horizontal="center" vertical="center" wrapText="1"/>
    </xf>
    <xf numFmtId="14" fontId="4" fillId="4" borderId="3" xfId="0" applyNumberFormat="1" applyFont="1" applyFill="1" applyBorder="1" applyAlignment="1">
      <alignment horizontal="center" vertical="center" wrapText="1"/>
    </xf>
    <xf numFmtId="0" fontId="51" fillId="10" borderId="15" xfId="0" applyFont="1" applyFill="1" applyBorder="1" applyAlignment="1">
      <alignment horizontal="center" vertical="center" wrapText="1"/>
    </xf>
    <xf numFmtId="0" fontId="4" fillId="0" borderId="15" xfId="0" applyFont="1" applyBorder="1" applyAlignment="1" applyProtection="1">
      <alignment horizontal="center" vertical="center" wrapText="1"/>
      <protection locked="0"/>
    </xf>
    <xf numFmtId="0" fontId="0" fillId="8" borderId="16" xfId="0" applyFill="1" applyBorder="1" applyAlignment="1">
      <alignment horizontal="center" vertical="center"/>
    </xf>
    <xf numFmtId="168" fontId="4" fillId="11" borderId="3" xfId="0" applyNumberFormat="1" applyFont="1" applyFill="1" applyBorder="1" applyAlignment="1">
      <alignment horizontal="center" vertical="center" wrapText="1"/>
    </xf>
    <xf numFmtId="168" fontId="4" fillId="4" borderId="3" xfId="0" applyNumberFormat="1" applyFont="1" applyFill="1" applyBorder="1" applyAlignment="1">
      <alignment horizontal="center" vertical="center" wrapText="1"/>
    </xf>
    <xf numFmtId="0" fontId="14" fillId="11" borderId="15" xfId="0" applyFont="1" applyFill="1" applyBorder="1" applyAlignment="1">
      <alignment horizontal="center" vertical="center"/>
    </xf>
    <xf numFmtId="0" fontId="4" fillId="8" borderId="70" xfId="0" applyFont="1" applyFill="1" applyBorder="1" applyAlignment="1">
      <alignment horizontal="center" vertical="center"/>
    </xf>
    <xf numFmtId="0" fontId="0" fillId="8" borderId="70" xfId="0" applyFill="1" applyBorder="1" applyAlignment="1">
      <alignment horizontal="center" vertical="center"/>
    </xf>
    <xf numFmtId="0" fontId="2" fillId="2" borderId="36" xfId="0" applyFont="1" applyFill="1" applyBorder="1" applyAlignment="1">
      <alignment vertical="center"/>
    </xf>
    <xf numFmtId="0" fontId="2" fillId="2" borderId="37" xfId="0" applyFont="1" applyFill="1" applyBorder="1" applyAlignment="1">
      <alignment vertical="center"/>
    </xf>
    <xf numFmtId="0" fontId="2" fillId="2" borderId="54" xfId="0" applyFont="1" applyFill="1" applyBorder="1" applyAlignment="1">
      <alignment horizontal="right" vertical="center"/>
    </xf>
    <xf numFmtId="168" fontId="47" fillId="2" borderId="55" xfId="0" applyNumberFormat="1" applyFont="1" applyFill="1" applyBorder="1" applyAlignment="1">
      <alignment vertical="center"/>
    </xf>
    <xf numFmtId="166" fontId="2" fillId="2" borderId="29" xfId="0" applyNumberFormat="1" applyFont="1" applyFill="1" applyBorder="1" applyAlignment="1">
      <alignment vertical="center"/>
    </xf>
    <xf numFmtId="0" fontId="51" fillId="10" borderId="17" xfId="0" applyFont="1" applyFill="1" applyBorder="1" applyAlignment="1">
      <alignment horizontal="center" vertical="center" wrapText="1"/>
    </xf>
    <xf numFmtId="0" fontId="51" fillId="10" borderId="85" xfId="0" applyFont="1" applyFill="1" applyBorder="1" applyAlignment="1">
      <alignment horizontal="center" vertical="center" wrapText="1"/>
    </xf>
    <xf numFmtId="0" fontId="51" fillId="10" borderId="33" xfId="0" applyFont="1" applyFill="1" applyBorder="1" applyAlignment="1">
      <alignment horizontal="center" vertical="center" wrapText="1"/>
    </xf>
    <xf numFmtId="0" fontId="14" fillId="10" borderId="86" xfId="0" applyFont="1" applyFill="1" applyBorder="1" applyAlignment="1">
      <alignment horizontal="center" vertical="center" wrapText="1"/>
    </xf>
    <xf numFmtId="168" fontId="14" fillId="11" borderId="85" xfId="0" applyNumberFormat="1" applyFont="1" applyFill="1" applyBorder="1" applyAlignment="1">
      <alignment horizontal="center" vertical="center"/>
    </xf>
    <xf numFmtId="0" fontId="4" fillId="6" borderId="86" xfId="102" applyFont="1" applyFill="1" applyBorder="1" applyAlignment="1" applyProtection="1">
      <alignment horizontal="center" vertical="center" wrapText="1"/>
      <protection locked="0"/>
    </xf>
    <xf numFmtId="166" fontId="2" fillId="2" borderId="32" xfId="0" applyNumberFormat="1" applyFont="1" applyFill="1" applyBorder="1" applyAlignment="1">
      <alignment vertical="center"/>
    </xf>
    <xf numFmtId="0" fontId="51" fillId="9" borderId="34" xfId="0" applyFont="1" applyFill="1" applyBorder="1" applyAlignment="1">
      <alignment horizontal="center" vertical="center" wrapText="1"/>
    </xf>
    <xf numFmtId="0" fontId="14" fillId="9" borderId="15" xfId="0" applyFont="1" applyFill="1" applyBorder="1" applyAlignment="1">
      <alignment horizontal="center" vertical="center" wrapText="1"/>
    </xf>
    <xf numFmtId="0" fontId="51" fillId="11" borderId="17" xfId="0" applyFont="1" applyFill="1" applyBorder="1" applyAlignment="1">
      <alignment horizontal="center" vertical="center"/>
    </xf>
    <xf numFmtId="168" fontId="4" fillId="11" borderId="15" xfId="0" applyNumberFormat="1" applyFont="1" applyFill="1" applyBorder="1" applyAlignment="1">
      <alignment horizontal="center" vertical="center"/>
    </xf>
    <xf numFmtId="168" fontId="47" fillId="2" borderId="34" xfId="0" applyNumberFormat="1" applyFont="1" applyFill="1" applyBorder="1" applyAlignment="1">
      <alignment vertical="center"/>
    </xf>
    <xf numFmtId="0" fontId="2" fillId="2" borderId="89" xfId="0" applyFont="1" applyFill="1" applyBorder="1" applyAlignment="1">
      <alignment vertical="center"/>
    </xf>
    <xf numFmtId="168" fontId="2" fillId="2" borderId="4" xfId="0" applyNumberFormat="1" applyFont="1" applyFill="1" applyBorder="1" applyAlignment="1">
      <alignment horizontal="center" vertical="center"/>
    </xf>
    <xf numFmtId="168" fontId="4" fillId="4" borderId="15" xfId="0" applyNumberFormat="1" applyFont="1" applyFill="1" applyBorder="1" applyAlignment="1">
      <alignment horizontal="center" vertical="center" wrapText="1"/>
    </xf>
    <xf numFmtId="168" fontId="2" fillId="2" borderId="4" xfId="0" applyNumberFormat="1" applyFont="1" applyFill="1" applyBorder="1" applyAlignment="1">
      <alignment horizontal="right" vertical="center"/>
    </xf>
    <xf numFmtId="168" fontId="2" fillId="2" borderId="24" xfId="0" applyNumberFormat="1" applyFont="1" applyFill="1" applyBorder="1" applyAlignment="1">
      <alignment horizontal="center" vertical="center"/>
    </xf>
    <xf numFmtId="0" fontId="2" fillId="2" borderId="89" xfId="0" applyFont="1" applyFill="1" applyBorder="1" applyAlignment="1">
      <alignment horizontal="right" vertical="center"/>
    </xf>
    <xf numFmtId="168" fontId="2" fillId="2" borderId="24" xfId="0" applyNumberFormat="1" applyFont="1" applyFill="1" applyBorder="1" applyAlignment="1">
      <alignment vertical="center"/>
    </xf>
    <xf numFmtId="0" fontId="4" fillId="4" borderId="70" xfId="1" applyNumberFormat="1" applyFont="1" applyFill="1" applyBorder="1" applyAlignment="1" applyProtection="1">
      <alignment horizontal="center" vertical="center" wrapText="1"/>
    </xf>
    <xf numFmtId="0" fontId="4" fillId="4" borderId="1" xfId="1" applyNumberFormat="1" applyFont="1" applyFill="1" applyBorder="1" applyAlignment="1" applyProtection="1">
      <alignment horizontal="center" vertical="center" wrapText="1"/>
    </xf>
    <xf numFmtId="0" fontId="2" fillId="2" borderId="49" xfId="0" applyFont="1" applyFill="1" applyBorder="1" applyAlignment="1">
      <alignment horizontal="right" vertical="center"/>
    </xf>
    <xf numFmtId="0" fontId="14" fillId="9" borderId="70" xfId="0" applyFont="1" applyFill="1" applyBorder="1" applyAlignment="1">
      <alignment horizontal="center" vertical="center" wrapText="1"/>
    </xf>
    <xf numFmtId="0" fontId="14" fillId="11" borderId="70" xfId="0" applyFont="1" applyFill="1" applyBorder="1" applyAlignment="1">
      <alignment horizontal="center" vertical="center" wrapText="1"/>
    </xf>
    <xf numFmtId="168" fontId="9" fillId="11" borderId="1" xfId="0" applyNumberFormat="1" applyFont="1" applyFill="1" applyBorder="1" applyAlignment="1">
      <alignment horizontal="right" vertical="center"/>
    </xf>
    <xf numFmtId="168" fontId="9" fillId="11" borderId="1" xfId="0" applyNumberFormat="1" applyFont="1" applyFill="1" applyBorder="1" applyAlignment="1">
      <alignment horizontal="center" vertical="center"/>
    </xf>
    <xf numFmtId="0" fontId="12" fillId="10" borderId="74" xfId="0" applyFont="1" applyFill="1" applyBorder="1" applyAlignment="1">
      <alignment horizontal="center" vertical="center" wrapText="1"/>
    </xf>
    <xf numFmtId="0" fontId="13" fillId="11" borderId="5" xfId="0" applyFont="1" applyFill="1" applyBorder="1" applyAlignment="1">
      <alignment horizontal="center" vertical="center" wrapText="1"/>
    </xf>
    <xf numFmtId="0" fontId="13" fillId="11" borderId="2" xfId="0" applyFont="1" applyFill="1" applyBorder="1" applyAlignment="1">
      <alignment horizontal="center" vertical="center" wrapText="1"/>
    </xf>
    <xf numFmtId="0" fontId="13" fillId="11" borderId="58" xfId="0" applyFont="1" applyFill="1" applyBorder="1" applyAlignment="1">
      <alignment horizontal="center" vertical="center" wrapText="1"/>
    </xf>
    <xf numFmtId="0" fontId="13" fillId="11" borderId="73" xfId="0" applyFont="1" applyFill="1" applyBorder="1" applyAlignment="1">
      <alignment horizontal="center" vertical="center" wrapText="1"/>
    </xf>
    <xf numFmtId="0" fontId="13" fillId="11" borderId="89" xfId="0" applyFont="1" applyFill="1" applyBorder="1" applyAlignment="1">
      <alignment horizontal="center" vertical="center" wrapText="1"/>
    </xf>
    <xf numFmtId="0" fontId="13" fillId="0" borderId="5" xfId="0" applyFont="1" applyBorder="1" applyAlignment="1" applyProtection="1">
      <alignment horizontal="center" vertical="center" wrapText="1"/>
      <protection locked="0"/>
    </xf>
    <xf numFmtId="0" fontId="13" fillId="0" borderId="2" xfId="0" applyFont="1" applyBorder="1" applyAlignment="1" applyProtection="1">
      <alignment horizontal="center" vertical="center" wrapText="1"/>
      <protection locked="0"/>
    </xf>
    <xf numFmtId="0" fontId="13" fillId="0" borderId="54" xfId="0" applyFont="1" applyBorder="1" applyAlignment="1" applyProtection="1">
      <alignment horizontal="center" vertical="center" wrapText="1"/>
      <protection locked="0"/>
    </xf>
    <xf numFmtId="0" fontId="13" fillId="11" borderId="32" xfId="0" applyFont="1" applyFill="1" applyBorder="1" applyAlignment="1">
      <alignment horizontal="center" vertical="center" wrapText="1"/>
    </xf>
    <xf numFmtId="0" fontId="13" fillId="4" borderId="34"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32" xfId="0" applyFont="1" applyFill="1" applyBorder="1" applyAlignment="1">
      <alignment horizontal="center" vertical="center" wrapText="1"/>
    </xf>
    <xf numFmtId="0" fontId="51" fillId="10" borderId="92" xfId="0" applyFont="1" applyFill="1" applyBorder="1" applyAlignment="1">
      <alignment horizontal="center" vertical="center" wrapText="1"/>
    </xf>
    <xf numFmtId="0" fontId="51" fillId="10" borderId="93" xfId="0" applyFont="1" applyFill="1" applyBorder="1" applyAlignment="1">
      <alignment horizontal="center" vertical="center" wrapText="1"/>
    </xf>
    <xf numFmtId="0" fontId="51" fillId="10" borderId="94" xfId="0" applyFont="1" applyFill="1" applyBorder="1" applyAlignment="1">
      <alignment horizontal="center" vertical="center" wrapText="1"/>
    </xf>
    <xf numFmtId="0" fontId="4" fillId="6" borderId="83" xfId="0" applyFont="1" applyFill="1" applyBorder="1" applyAlignment="1" applyProtection="1">
      <alignment horizontal="center" vertical="center" wrapText="1"/>
      <protection locked="0"/>
    </xf>
    <xf numFmtId="168" fontId="4" fillId="4" borderId="95" xfId="0" applyNumberFormat="1" applyFont="1" applyFill="1" applyBorder="1" applyAlignment="1">
      <alignment horizontal="center" vertical="center" wrapText="1"/>
    </xf>
    <xf numFmtId="0" fontId="4" fillId="0" borderId="14" xfId="0" applyFont="1" applyBorder="1" applyAlignment="1" applyProtection="1">
      <alignment horizontal="center" vertical="center" wrapText="1"/>
      <protection locked="0"/>
    </xf>
    <xf numFmtId="9" fontId="4" fillId="0" borderId="14" xfId="0" applyNumberFormat="1" applyFont="1" applyBorder="1" applyAlignment="1" applyProtection="1">
      <alignment horizontal="center" vertical="center" wrapText="1"/>
      <protection locked="0"/>
    </xf>
    <xf numFmtId="0" fontId="4" fillId="0" borderId="34" xfId="0" applyFont="1" applyBorder="1" applyAlignment="1" applyProtection="1">
      <alignment horizontal="center" vertical="center" wrapText="1"/>
      <protection locked="0"/>
    </xf>
    <xf numFmtId="168" fontId="4" fillId="4" borderId="14" xfId="0" applyNumberFormat="1" applyFont="1" applyFill="1" applyBorder="1" applyAlignment="1">
      <alignment horizontal="center" vertical="center" wrapText="1"/>
    </xf>
    <xf numFmtId="0" fontId="51" fillId="4" borderId="14" xfId="0" applyFont="1" applyFill="1" applyBorder="1" applyAlignment="1">
      <alignment horizontal="center" vertical="center" wrapText="1"/>
    </xf>
    <xf numFmtId="0" fontId="51" fillId="11" borderId="30" xfId="0" applyFont="1" applyFill="1" applyBorder="1" applyAlignment="1">
      <alignment horizontal="center" vertical="center"/>
    </xf>
    <xf numFmtId="49" fontId="14" fillId="11" borderId="31" xfId="102" applyNumberFormat="1" applyFont="1" applyFill="1" applyBorder="1" applyAlignment="1">
      <alignment horizontal="center" vertical="center" wrapText="1"/>
    </xf>
    <xf numFmtId="9" fontId="14" fillId="11" borderId="31" xfId="102" applyNumberFormat="1" applyFont="1" applyFill="1" applyBorder="1" applyAlignment="1">
      <alignment horizontal="center" vertical="center" wrapText="1"/>
    </xf>
    <xf numFmtId="168" fontId="14" fillId="11" borderId="31" xfId="1" applyNumberFormat="1" applyFont="1" applyFill="1" applyBorder="1" applyAlignment="1" applyProtection="1">
      <alignment horizontal="right" vertical="center" wrapText="1"/>
    </xf>
    <xf numFmtId="49" fontId="14" fillId="11" borderId="31" xfId="1" applyNumberFormat="1" applyFont="1" applyFill="1" applyBorder="1" applyAlignment="1" applyProtection="1">
      <alignment horizontal="center" vertical="center" wrapText="1"/>
    </xf>
    <xf numFmtId="0" fontId="14" fillId="11" borderId="32" xfId="0" applyFont="1" applyFill="1" applyBorder="1" applyAlignment="1">
      <alignment horizontal="center" vertical="center" wrapText="1"/>
    </xf>
    <xf numFmtId="0" fontId="14" fillId="11" borderId="49" xfId="102" applyFont="1" applyFill="1" applyBorder="1" applyAlignment="1">
      <alignment horizontal="center" vertical="center" wrapText="1"/>
    </xf>
    <xf numFmtId="0" fontId="14" fillId="11" borderId="31" xfId="102" applyFont="1" applyFill="1" applyBorder="1" applyAlignment="1">
      <alignment horizontal="center" vertical="center" wrapText="1"/>
    </xf>
    <xf numFmtId="9" fontId="14" fillId="11" borderId="31" xfId="1" applyFont="1" applyFill="1" applyBorder="1" applyAlignment="1" applyProtection="1">
      <alignment horizontal="center" vertical="center" wrapText="1"/>
    </xf>
    <xf numFmtId="1" fontId="14" fillId="11" borderId="31" xfId="102" applyNumberFormat="1" applyFont="1" applyFill="1" applyBorder="1" applyAlignment="1">
      <alignment horizontal="center" vertical="center" wrapText="1"/>
    </xf>
    <xf numFmtId="168" fontId="14" fillId="11" borderId="31" xfId="102" applyNumberFormat="1" applyFont="1" applyFill="1" applyBorder="1" applyAlignment="1">
      <alignment horizontal="center" vertical="center" wrapText="1"/>
    </xf>
    <xf numFmtId="0" fontId="14" fillId="11" borderId="31" xfId="0" applyFont="1" applyFill="1" applyBorder="1" applyAlignment="1">
      <alignment horizontal="center" vertical="center" wrapText="1"/>
    </xf>
    <xf numFmtId="168" fontId="47" fillId="11" borderId="31" xfId="0" applyNumberFormat="1" applyFont="1" applyFill="1" applyBorder="1" applyAlignment="1">
      <alignment horizontal="right" vertical="center" wrapText="1"/>
    </xf>
    <xf numFmtId="0" fontId="54" fillId="11" borderId="31" xfId="0" applyFont="1" applyFill="1" applyBorder="1" applyAlignment="1">
      <alignment horizontal="center" vertical="center" wrapText="1"/>
    </xf>
    <xf numFmtId="0" fontId="54" fillId="11" borderId="31" xfId="0" quotePrefix="1" applyFont="1" applyFill="1" applyBorder="1" applyAlignment="1">
      <alignment horizontal="center" vertical="center" wrapText="1"/>
    </xf>
    <xf numFmtId="0" fontId="4" fillId="6" borderId="28" xfId="0" applyFont="1" applyFill="1" applyBorder="1" applyAlignment="1" applyProtection="1">
      <alignment horizontal="center" vertical="center" wrapText="1"/>
      <protection locked="0"/>
    </xf>
    <xf numFmtId="0" fontId="4" fillId="8" borderId="52" xfId="0" applyFont="1" applyFill="1" applyBorder="1" applyAlignment="1">
      <alignment horizontal="center" vertical="center"/>
    </xf>
    <xf numFmtId="168" fontId="14" fillId="4" borderId="1" xfId="1" quotePrefix="1" applyNumberFormat="1" applyFont="1" applyFill="1" applyBorder="1" applyAlignment="1" applyProtection="1">
      <alignment horizontal="center" vertical="center" wrapText="1"/>
    </xf>
    <xf numFmtId="0" fontId="4" fillId="4" borderId="3" xfId="1" applyNumberFormat="1" applyFont="1" applyFill="1" applyBorder="1" applyAlignment="1" applyProtection="1">
      <alignment horizontal="right" vertical="center" wrapText="1"/>
    </xf>
    <xf numFmtId="0" fontId="14" fillId="11" borderId="2" xfId="0" applyFont="1" applyFill="1" applyBorder="1" applyAlignment="1">
      <alignment horizontal="center" vertical="center" wrapText="1"/>
    </xf>
    <xf numFmtId="0" fontId="14" fillId="10" borderId="3" xfId="0" applyFont="1" applyFill="1" applyBorder="1" applyAlignment="1">
      <alignment horizontal="center" vertical="center" wrapText="1"/>
    </xf>
    <xf numFmtId="168" fontId="51" fillId="4" borderId="1" xfId="1" applyNumberFormat="1" applyFont="1" applyFill="1" applyBorder="1" applyAlignment="1" applyProtection="1">
      <alignment horizontal="right" vertical="center" wrapText="1"/>
    </xf>
    <xf numFmtId="168" fontId="51" fillId="4" borderId="1" xfId="0" applyNumberFormat="1" applyFont="1" applyFill="1" applyBorder="1" applyAlignment="1">
      <alignment horizontal="center" vertical="center"/>
    </xf>
    <xf numFmtId="168" fontId="51" fillId="4" borderId="1" xfId="0" applyNumberFormat="1" applyFont="1" applyFill="1" applyBorder="1" applyAlignment="1">
      <alignment horizontal="right" vertical="center"/>
    </xf>
    <xf numFmtId="168" fontId="9" fillId="11" borderId="2" xfId="1" applyNumberFormat="1" applyFont="1" applyFill="1" applyBorder="1" applyAlignment="1" applyProtection="1">
      <alignment horizontal="center" vertical="center" wrapText="1"/>
    </xf>
    <xf numFmtId="168" fontId="51" fillId="4" borderId="2" xfId="1" applyNumberFormat="1" applyFont="1" applyFill="1" applyBorder="1" applyAlignment="1" applyProtection="1">
      <alignment horizontal="center" vertical="center" wrapText="1"/>
    </xf>
    <xf numFmtId="168" fontId="9" fillId="11" borderId="31" xfId="1" applyNumberFormat="1" applyFont="1" applyFill="1" applyBorder="1" applyAlignment="1" applyProtection="1">
      <alignment horizontal="right" vertical="center" wrapText="1"/>
    </xf>
    <xf numFmtId="168" fontId="51" fillId="4" borderId="14" xfId="101" applyNumberFormat="1" applyFont="1" applyFill="1" applyBorder="1" applyAlignment="1" applyProtection="1">
      <alignment horizontal="right" vertical="center" wrapText="1"/>
    </xf>
    <xf numFmtId="168" fontId="51" fillId="4" borderId="1" xfId="0" applyNumberFormat="1" applyFont="1" applyFill="1" applyBorder="1" applyAlignment="1">
      <alignment horizontal="center" vertical="center" wrapText="1"/>
    </xf>
    <xf numFmtId="168" fontId="9" fillId="11" borderId="81" xfId="0" applyNumberFormat="1" applyFont="1" applyFill="1" applyBorder="1" applyAlignment="1">
      <alignment horizontal="center" vertical="center"/>
    </xf>
    <xf numFmtId="168" fontId="47" fillId="11" borderId="82" xfId="0" applyNumberFormat="1" applyFont="1" applyFill="1" applyBorder="1" applyAlignment="1">
      <alignment horizontal="center" vertical="center"/>
    </xf>
    <xf numFmtId="168" fontId="51" fillId="4" borderId="81" xfId="0" applyNumberFormat="1" applyFont="1" applyFill="1" applyBorder="1" applyAlignment="1">
      <alignment horizontal="center" vertical="center"/>
    </xf>
    <xf numFmtId="168" fontId="2" fillId="4" borderId="82" xfId="0" applyNumberFormat="1" applyFont="1" applyFill="1" applyBorder="1" applyAlignment="1">
      <alignment horizontal="center" vertical="center"/>
    </xf>
    <xf numFmtId="168" fontId="9" fillId="11" borderId="87" xfId="0" applyNumberFormat="1" applyFont="1" applyFill="1" applyBorder="1" applyAlignment="1">
      <alignment horizontal="center" vertical="center"/>
    </xf>
    <xf numFmtId="168" fontId="51" fillId="4" borderId="87" xfId="0" applyNumberFormat="1" applyFont="1" applyFill="1" applyBorder="1" applyAlignment="1">
      <alignment horizontal="center" vertical="center"/>
    </xf>
    <xf numFmtId="0" fontId="14" fillId="11" borderId="1" xfId="1" applyNumberFormat="1" applyFont="1" applyFill="1" applyBorder="1" applyAlignment="1" applyProtection="1">
      <alignment horizontal="center" vertical="center" wrapText="1"/>
    </xf>
    <xf numFmtId="0" fontId="14" fillId="11" borderId="70" xfId="1" applyNumberFormat="1" applyFont="1" applyFill="1" applyBorder="1" applyAlignment="1" applyProtection="1">
      <alignment horizontal="center" vertical="center" wrapText="1"/>
    </xf>
    <xf numFmtId="2" fontId="14" fillId="11" borderId="1" xfId="1" applyNumberFormat="1" applyFont="1" applyFill="1" applyBorder="1" applyAlignment="1" applyProtection="1">
      <alignment horizontal="center" vertical="center" wrapText="1"/>
    </xf>
    <xf numFmtId="0" fontId="51" fillId="9" borderId="51" xfId="0" applyFont="1" applyFill="1" applyBorder="1" applyAlignment="1">
      <alignment horizontal="center" vertical="center" wrapText="1"/>
    </xf>
    <xf numFmtId="0" fontId="51" fillId="9" borderId="21" xfId="0" applyFont="1" applyFill="1" applyBorder="1" applyAlignment="1">
      <alignment horizontal="center" vertical="center" wrapText="1"/>
    </xf>
    <xf numFmtId="0" fontId="51" fillId="9" borderId="71" xfId="0" applyFont="1" applyFill="1" applyBorder="1" applyAlignment="1">
      <alignment horizontal="center" vertical="center" wrapText="1"/>
    </xf>
    <xf numFmtId="0" fontId="51" fillId="10" borderId="96" xfId="0" applyFont="1" applyFill="1" applyBorder="1" applyAlignment="1">
      <alignment horizontal="center" vertical="center" wrapText="1"/>
    </xf>
    <xf numFmtId="0" fontId="51" fillId="10" borderId="51" xfId="0" applyFont="1" applyFill="1" applyBorder="1" applyAlignment="1">
      <alignment horizontal="center" vertical="center" wrapText="1"/>
    </xf>
    <xf numFmtId="0" fontId="51" fillId="10" borderId="7" xfId="0" applyFont="1" applyFill="1" applyBorder="1" applyAlignment="1">
      <alignment horizontal="center" vertical="center" wrapText="1"/>
    </xf>
    <xf numFmtId="0" fontId="51" fillId="9" borderId="6" xfId="0" applyFont="1" applyFill="1" applyBorder="1" applyAlignment="1">
      <alignment horizontal="center" vertical="center" wrapText="1"/>
    </xf>
    <xf numFmtId="0" fontId="51" fillId="9" borderId="50" xfId="0" applyFont="1" applyFill="1" applyBorder="1" applyAlignment="1">
      <alignment horizontal="center" vertical="center" wrapText="1"/>
    </xf>
    <xf numFmtId="0" fontId="51" fillId="9" borderId="53" xfId="0" applyFont="1" applyFill="1" applyBorder="1" applyAlignment="1">
      <alignment horizontal="center" vertical="center" wrapText="1"/>
    </xf>
    <xf numFmtId="0" fontId="51" fillId="10" borderId="50" xfId="0" applyFont="1" applyFill="1" applyBorder="1" applyAlignment="1">
      <alignment horizontal="center" vertical="center" wrapText="1"/>
    </xf>
    <xf numFmtId="0" fontId="51" fillId="10" borderId="53" xfId="0" applyFont="1" applyFill="1" applyBorder="1" applyAlignment="1">
      <alignment horizontal="center" vertical="center" wrapText="1"/>
    </xf>
    <xf numFmtId="0" fontId="51" fillId="9" borderId="52" xfId="0" applyFont="1" applyFill="1" applyBorder="1" applyAlignment="1">
      <alignment horizontal="center" vertical="center" wrapText="1"/>
    </xf>
    <xf numFmtId="168" fontId="51" fillId="4" borderId="3" xfId="0" applyNumberFormat="1" applyFont="1" applyFill="1" applyBorder="1" applyAlignment="1">
      <alignment horizontal="center" vertical="center" wrapText="1"/>
    </xf>
    <xf numFmtId="0" fontId="14" fillId="11" borderId="1" xfId="0" applyFont="1" applyFill="1" applyBorder="1" applyAlignment="1" applyProtection="1">
      <alignment horizontal="center" vertical="center"/>
      <protection locked="0"/>
    </xf>
    <xf numFmtId="168" fontId="9" fillId="11" borderId="3" xfId="0" applyNumberFormat="1" applyFont="1" applyFill="1" applyBorder="1" applyAlignment="1">
      <alignment horizontal="center" vertical="center" wrapText="1"/>
    </xf>
    <xf numFmtId="168" fontId="9" fillId="11" borderId="1" xfId="1" applyNumberFormat="1" applyFont="1" applyFill="1" applyBorder="1" applyAlignment="1" applyProtection="1">
      <alignment horizontal="center" vertical="center" wrapText="1"/>
    </xf>
    <xf numFmtId="168" fontId="51" fillId="4" borderId="1" xfId="1" applyNumberFormat="1" applyFont="1" applyFill="1" applyBorder="1" applyAlignment="1" applyProtection="1">
      <alignment horizontal="center" vertical="center" wrapText="1"/>
    </xf>
    <xf numFmtId="0" fontId="23" fillId="0" borderId="0" xfId="0" applyFont="1"/>
    <xf numFmtId="168" fontId="14" fillId="11" borderId="3" xfId="0" applyNumberFormat="1" applyFont="1" applyFill="1" applyBorder="1" applyAlignment="1">
      <alignment horizontal="center" vertical="center" wrapText="1"/>
    </xf>
    <xf numFmtId="168" fontId="51" fillId="11" borderId="15" xfId="0" applyNumberFormat="1" applyFont="1" applyFill="1" applyBorder="1" applyAlignment="1">
      <alignment horizontal="center" vertical="center" wrapText="1"/>
    </xf>
    <xf numFmtId="0" fontId="65" fillId="0" borderId="0" xfId="0" applyFont="1" applyAlignment="1">
      <alignment horizontal="left" vertical="center" wrapText="1"/>
    </xf>
    <xf numFmtId="0" fontId="66" fillId="0" borderId="0" xfId="0" applyFont="1" applyAlignment="1">
      <alignment horizontal="center" vertical="center" wrapText="1"/>
    </xf>
    <xf numFmtId="0" fontId="25" fillId="0" borderId="0" xfId="0" applyFont="1" applyAlignment="1">
      <alignment horizontal="left" vertical="center" wrapText="1"/>
    </xf>
    <xf numFmtId="0" fontId="0" fillId="0" borderId="0" xfId="0" applyAlignment="1">
      <alignment vertical="center" wrapText="1"/>
    </xf>
    <xf numFmtId="0" fontId="68" fillId="0" borderId="0" xfId="0" applyFont="1" applyAlignment="1">
      <alignment horizontal="center" vertical="center" wrapText="1"/>
    </xf>
    <xf numFmtId="0" fontId="69" fillId="0" borderId="105" xfId="0" applyFont="1" applyBorder="1" applyAlignment="1">
      <alignment vertical="center" wrapText="1"/>
    </xf>
    <xf numFmtId="0" fontId="69" fillId="0" borderId="106" xfId="0" applyFont="1" applyBorder="1" applyAlignment="1">
      <alignment vertical="center" wrapText="1"/>
    </xf>
    <xf numFmtId="0" fontId="24" fillId="31" borderId="14" xfId="0" applyFont="1" applyFill="1" applyBorder="1" applyAlignment="1">
      <alignment horizontal="center" vertical="center" wrapText="1"/>
    </xf>
    <xf numFmtId="9" fontId="66" fillId="0" borderId="0" xfId="1" applyFont="1" applyAlignment="1">
      <alignment horizontal="center" vertical="center" wrapText="1"/>
    </xf>
    <xf numFmtId="9" fontId="0" fillId="0" borderId="0" xfId="1" applyFont="1" applyAlignment="1">
      <alignment vertical="center" wrapText="1"/>
    </xf>
    <xf numFmtId="9" fontId="68" fillId="0" borderId="0" xfId="1" applyFont="1" applyAlignment="1">
      <alignment horizontal="center" vertical="center" wrapText="1"/>
    </xf>
    <xf numFmtId="9" fontId="0" fillId="0" borderId="0" xfId="1" applyFont="1"/>
    <xf numFmtId="0" fontId="0" fillId="6" borderId="0" xfId="0" applyFill="1" applyAlignment="1">
      <alignment vertical="center" wrapText="1"/>
    </xf>
    <xf numFmtId="0" fontId="24" fillId="6" borderId="0" xfId="0" applyFont="1" applyFill="1" applyAlignment="1">
      <alignment horizontal="center" vertical="center" wrapText="1"/>
    </xf>
    <xf numFmtId="9" fontId="24" fillId="6" borderId="0" xfId="1" applyFont="1" applyFill="1" applyBorder="1" applyAlignment="1">
      <alignment horizontal="center" vertical="center" wrapText="1"/>
    </xf>
    <xf numFmtId="0" fontId="16" fillId="6" borderId="0" xfId="0" applyFont="1" applyFill="1" applyAlignment="1">
      <alignment horizontal="center" vertical="center" wrapText="1"/>
    </xf>
    <xf numFmtId="9" fontId="0" fillId="6" borderId="0" xfId="1" applyFont="1" applyFill="1" applyBorder="1" applyAlignment="1">
      <alignment vertical="center" wrapText="1"/>
    </xf>
    <xf numFmtId="168" fontId="16" fillId="6" borderId="0" xfId="101" applyNumberFormat="1" applyFont="1" applyFill="1" applyBorder="1" applyAlignment="1">
      <alignment horizontal="center" vertical="center" wrapText="1"/>
    </xf>
    <xf numFmtId="0" fontId="16" fillId="6" borderId="0" xfId="0" applyFont="1" applyFill="1" applyAlignment="1">
      <alignment vertical="center" wrapText="1"/>
    </xf>
    <xf numFmtId="0" fontId="24" fillId="6" borderId="0" xfId="0" applyFont="1" applyFill="1" applyAlignment="1">
      <alignment vertical="center" wrapText="1"/>
    </xf>
    <xf numFmtId="9" fontId="24" fillId="6" borderId="0" xfId="1" applyFont="1" applyFill="1" applyBorder="1" applyAlignment="1">
      <alignment vertical="center" wrapText="1"/>
    </xf>
    <xf numFmtId="0" fontId="71" fillId="6" borderId="0" xfId="0" applyFont="1" applyFill="1" applyAlignment="1">
      <alignment horizontal="center" vertical="center" wrapText="1"/>
    </xf>
    <xf numFmtId="0" fontId="71" fillId="6" borderId="0" xfId="0" applyFont="1" applyFill="1" applyAlignment="1">
      <alignment vertical="center" wrapText="1"/>
    </xf>
    <xf numFmtId="168" fontId="71" fillId="6" borderId="0" xfId="101" applyNumberFormat="1" applyFont="1" applyFill="1" applyBorder="1" applyAlignment="1">
      <alignment horizontal="center" vertical="center" wrapText="1"/>
    </xf>
    <xf numFmtId="168" fontId="71" fillId="6" borderId="0" xfId="0" applyNumberFormat="1" applyFont="1" applyFill="1" applyAlignment="1">
      <alignment horizontal="center" vertical="center" wrapText="1"/>
    </xf>
    <xf numFmtId="168" fontId="25" fillId="6" borderId="0" xfId="101" applyNumberFormat="1" applyFont="1" applyFill="1" applyBorder="1" applyAlignment="1">
      <alignment horizontal="center" vertical="center" wrapText="1"/>
    </xf>
    <xf numFmtId="0" fontId="0" fillId="6" borderId="0" xfId="0" applyFill="1"/>
    <xf numFmtId="9" fontId="0" fillId="6" borderId="0" xfId="1" applyFont="1" applyFill="1" applyBorder="1"/>
    <xf numFmtId="9" fontId="24" fillId="31" borderId="14" xfId="1" applyFont="1" applyFill="1" applyBorder="1" applyAlignment="1">
      <alignment horizontal="center" vertical="center" wrapText="1"/>
    </xf>
    <xf numFmtId="0" fontId="25" fillId="11" borderId="107" xfId="0" applyFont="1" applyFill="1" applyBorder="1" applyAlignment="1">
      <alignment vertical="center" wrapText="1"/>
    </xf>
    <xf numFmtId="0" fontId="65" fillId="32" borderId="107" xfId="0" applyFont="1" applyFill="1" applyBorder="1" applyAlignment="1">
      <alignment vertical="center" wrapText="1"/>
    </xf>
    <xf numFmtId="168" fontId="25" fillId="4" borderId="57" xfId="0" applyNumberFormat="1" applyFont="1" applyFill="1" applyBorder="1" applyAlignment="1">
      <alignment vertical="center" wrapText="1"/>
    </xf>
    <xf numFmtId="168" fontId="25" fillId="4" borderId="108" xfId="0" applyNumberFormat="1" applyFont="1" applyFill="1" applyBorder="1" applyAlignment="1">
      <alignment vertical="center" wrapText="1"/>
    </xf>
    <xf numFmtId="0" fontId="24" fillId="31" borderId="121" xfId="0" applyFont="1" applyFill="1" applyBorder="1" applyAlignment="1">
      <alignment horizontal="center" vertical="center" wrapText="1"/>
    </xf>
    <xf numFmtId="0" fontId="24" fillId="31" borderId="112" xfId="0" applyFont="1" applyFill="1" applyBorder="1" applyAlignment="1">
      <alignment horizontal="center" vertical="center" wrapText="1"/>
    </xf>
    <xf numFmtId="0" fontId="73" fillId="4" borderId="116" xfId="0" applyFont="1" applyFill="1" applyBorder="1" applyAlignment="1">
      <alignment horizontal="center" vertical="center" wrapText="1"/>
    </xf>
    <xf numFmtId="0" fontId="73" fillId="4" borderId="119" xfId="0" applyFont="1" applyFill="1" applyBorder="1" applyAlignment="1">
      <alignment horizontal="center" vertical="center" wrapText="1"/>
    </xf>
    <xf numFmtId="9" fontId="73" fillId="4" borderId="119" xfId="1" applyFont="1" applyFill="1" applyBorder="1" applyAlignment="1">
      <alignment horizontal="center" vertical="center" wrapText="1"/>
    </xf>
    <xf numFmtId="0" fontId="73" fillId="4" borderId="107" xfId="0" applyFont="1" applyFill="1" applyBorder="1" applyAlignment="1">
      <alignment horizontal="center" vertical="center" wrapText="1"/>
    </xf>
    <xf numFmtId="0" fontId="73" fillId="4" borderId="57" xfId="0" applyFont="1" applyFill="1" applyBorder="1" applyAlignment="1">
      <alignment horizontal="center" vertical="center" wrapText="1"/>
    </xf>
    <xf numFmtId="9" fontId="73" fillId="4" borderId="57" xfId="1" applyFont="1" applyFill="1" applyBorder="1" applyAlignment="1">
      <alignment horizontal="center" vertical="center" wrapText="1"/>
    </xf>
    <xf numFmtId="0" fontId="73" fillId="4" borderId="109" xfId="0" applyFont="1" applyFill="1" applyBorder="1" applyAlignment="1">
      <alignment horizontal="center" vertical="center" wrapText="1"/>
    </xf>
    <xf numFmtId="0" fontId="73" fillId="4" borderId="110" xfId="0" applyFont="1" applyFill="1" applyBorder="1" applyAlignment="1">
      <alignment horizontal="center" vertical="center" wrapText="1"/>
    </xf>
    <xf numFmtId="9" fontId="73" fillId="4" borderId="110" xfId="1" applyFont="1" applyFill="1" applyBorder="1" applyAlignment="1">
      <alignment horizontal="center" vertical="center" wrapText="1"/>
    </xf>
    <xf numFmtId="0" fontId="73" fillId="4" borderId="123" xfId="0" applyFont="1" applyFill="1" applyBorder="1" applyAlignment="1">
      <alignment horizontal="center" vertical="center" wrapText="1"/>
    </xf>
    <xf numFmtId="0" fontId="73" fillId="4" borderId="1" xfId="0" applyFont="1" applyFill="1" applyBorder="1" applyAlignment="1">
      <alignment horizontal="center" vertical="center" wrapText="1"/>
    </xf>
    <xf numFmtId="0" fontId="74" fillId="4" borderId="107" xfId="0" applyFont="1" applyFill="1" applyBorder="1" applyAlignment="1">
      <alignment horizontal="center" vertical="center" wrapText="1"/>
    </xf>
    <xf numFmtId="0" fontId="74" fillId="4" borderId="57" xfId="0" applyFont="1" applyFill="1" applyBorder="1" applyAlignment="1">
      <alignment horizontal="center" vertical="center" wrapText="1"/>
    </xf>
    <xf numFmtId="0" fontId="74" fillId="4" borderId="121" xfId="0" applyFont="1" applyFill="1" applyBorder="1" applyAlignment="1">
      <alignment horizontal="center" vertical="center" wrapText="1"/>
    </xf>
    <xf numFmtId="168" fontId="25" fillId="4" borderId="120" xfId="101" applyNumberFormat="1" applyFont="1" applyFill="1" applyBorder="1" applyAlignment="1">
      <alignment horizontal="center" vertical="center" wrapText="1"/>
    </xf>
    <xf numFmtId="168" fontId="25" fillId="4" borderId="108" xfId="101" applyNumberFormat="1" applyFont="1" applyFill="1" applyBorder="1" applyAlignment="1">
      <alignment horizontal="center" vertical="center" wrapText="1"/>
    </xf>
    <xf numFmtId="168" fontId="25" fillId="4" borderId="111" xfId="101" applyNumberFormat="1" applyFont="1" applyFill="1" applyBorder="1" applyAlignment="1">
      <alignment horizontal="center" vertical="center" wrapText="1"/>
    </xf>
    <xf numFmtId="168" fontId="25" fillId="4" borderId="113" xfId="101" applyNumberFormat="1" applyFont="1" applyFill="1" applyBorder="1" applyAlignment="1">
      <alignment horizontal="center" vertical="center" wrapText="1"/>
    </xf>
    <xf numFmtId="168" fontId="65" fillId="4" borderId="108" xfId="101" applyNumberFormat="1" applyFont="1" applyFill="1" applyBorder="1" applyAlignment="1">
      <alignment horizontal="center" vertical="center" wrapText="1"/>
    </xf>
    <xf numFmtId="168" fontId="65" fillId="4" borderId="108" xfId="0" applyNumberFormat="1" applyFont="1" applyFill="1" applyBorder="1" applyAlignment="1">
      <alignment horizontal="center" vertical="center" wrapText="1"/>
    </xf>
    <xf numFmtId="0" fontId="73" fillId="4" borderId="125" xfId="0" applyFont="1" applyFill="1" applyBorder="1" applyAlignment="1">
      <alignment horizontal="center" vertical="center" wrapText="1"/>
    </xf>
    <xf numFmtId="0" fontId="73" fillId="4" borderId="126" xfId="0" applyFont="1" applyFill="1" applyBorder="1" applyAlignment="1">
      <alignment horizontal="center" vertical="center" wrapText="1"/>
    </xf>
    <xf numFmtId="168" fontId="25" fillId="4" borderId="127" xfId="101" applyNumberFormat="1" applyFont="1" applyFill="1" applyBorder="1" applyAlignment="1">
      <alignment horizontal="center" vertical="center" wrapText="1"/>
    </xf>
    <xf numFmtId="0" fontId="73" fillId="4" borderId="128" xfId="0" applyFont="1" applyFill="1" applyBorder="1" applyAlignment="1">
      <alignment horizontal="center" vertical="center" wrapText="1"/>
    </xf>
    <xf numFmtId="0" fontId="73" fillId="4" borderId="129" xfId="0" applyFont="1" applyFill="1" applyBorder="1" applyAlignment="1">
      <alignment horizontal="center" vertical="center" wrapText="1"/>
    </xf>
    <xf numFmtId="168" fontId="25" fillId="4" borderId="114" xfId="101" applyNumberFormat="1" applyFont="1" applyFill="1" applyBorder="1" applyAlignment="1">
      <alignment horizontal="center" vertical="center" wrapText="1"/>
    </xf>
    <xf numFmtId="0" fontId="74" fillId="4" borderId="116" xfId="0" applyFont="1" applyFill="1" applyBorder="1" applyAlignment="1">
      <alignment horizontal="center" vertical="center" wrapText="1"/>
    </xf>
    <xf numFmtId="0" fontId="74" fillId="4" borderId="119" xfId="0" applyFont="1" applyFill="1" applyBorder="1" applyAlignment="1">
      <alignment horizontal="center" vertical="center" wrapText="1"/>
    </xf>
    <xf numFmtId="168" fontId="65" fillId="4" borderId="120" xfId="101" applyNumberFormat="1" applyFont="1" applyFill="1" applyBorder="1" applyAlignment="1">
      <alignment horizontal="center" vertical="center" wrapText="1"/>
    </xf>
    <xf numFmtId="0" fontId="74" fillId="4" borderId="109" xfId="0" applyFont="1" applyFill="1" applyBorder="1" applyAlignment="1">
      <alignment horizontal="center" vertical="center" wrapText="1"/>
    </xf>
    <xf numFmtId="0" fontId="74" fillId="4" borderId="110" xfId="0" applyFont="1" applyFill="1" applyBorder="1" applyAlignment="1">
      <alignment horizontal="center" vertical="center" wrapText="1"/>
    </xf>
    <xf numFmtId="168" fontId="65" fillId="4" borderId="111" xfId="101" applyNumberFormat="1" applyFont="1" applyFill="1" applyBorder="1" applyAlignment="1">
      <alignment horizontal="center" vertical="center" wrapText="1"/>
    </xf>
    <xf numFmtId="168" fontId="65" fillId="4" borderId="120" xfId="0" applyNumberFormat="1" applyFont="1" applyFill="1" applyBorder="1" applyAlignment="1">
      <alignment horizontal="center" vertical="center" wrapText="1"/>
    </xf>
    <xf numFmtId="168" fontId="65" fillId="4" borderId="111" xfId="0" applyNumberFormat="1" applyFont="1" applyFill="1" applyBorder="1" applyAlignment="1">
      <alignment horizontal="center" vertical="center" wrapText="1"/>
    </xf>
    <xf numFmtId="168" fontId="25" fillId="2" borderId="133" xfId="101" applyNumberFormat="1" applyFont="1" applyFill="1" applyBorder="1" applyAlignment="1">
      <alignment horizontal="center" vertical="center" wrapText="1"/>
    </xf>
    <xf numFmtId="0" fontId="74" fillId="4" borderId="125" xfId="0" applyFont="1" applyFill="1" applyBorder="1" applyAlignment="1">
      <alignment horizontal="center" vertical="center" wrapText="1"/>
    </xf>
    <xf numFmtId="0" fontId="74" fillId="4" borderId="135" xfId="0" applyFont="1" applyFill="1" applyBorder="1" applyAlignment="1">
      <alignment horizontal="center" vertical="center" wrapText="1"/>
    </xf>
    <xf numFmtId="168" fontId="65" fillId="4" borderId="138" xfId="0" applyNumberFormat="1" applyFont="1" applyFill="1" applyBorder="1" applyAlignment="1">
      <alignment horizontal="center" vertical="center" wrapText="1"/>
    </xf>
    <xf numFmtId="168" fontId="65" fillId="4" borderId="122" xfId="0" applyNumberFormat="1" applyFont="1" applyFill="1" applyBorder="1" applyAlignment="1">
      <alignment horizontal="center" vertical="center" wrapText="1"/>
    </xf>
    <xf numFmtId="168" fontId="65" fillId="4" borderId="104" xfId="0" applyNumberFormat="1" applyFont="1" applyFill="1" applyBorder="1" applyAlignment="1">
      <alignment horizontal="center" vertical="center" wrapText="1"/>
    </xf>
    <xf numFmtId="168" fontId="25" fillId="4" borderId="140" xfId="0" applyNumberFormat="1" applyFont="1" applyFill="1" applyBorder="1" applyAlignment="1">
      <alignment vertical="center" wrapText="1"/>
    </xf>
    <xf numFmtId="168" fontId="25" fillId="4" borderId="141" xfId="0" applyNumberFormat="1" applyFont="1" applyFill="1" applyBorder="1" applyAlignment="1">
      <alignment vertical="center" wrapText="1"/>
    </xf>
    <xf numFmtId="9" fontId="0" fillId="0" borderId="0" xfId="1" applyFont="1" applyBorder="1"/>
    <xf numFmtId="0" fontId="65" fillId="32" borderId="139" xfId="0" applyFont="1" applyFill="1" applyBorder="1" applyAlignment="1">
      <alignment vertical="center" wrapText="1"/>
    </xf>
    <xf numFmtId="0" fontId="26" fillId="0" borderId="0" xfId="0" applyFont="1" applyAlignment="1" applyProtection="1">
      <alignment horizontal="center" vertical="center" wrapText="1"/>
      <protection hidden="1"/>
    </xf>
    <xf numFmtId="0" fontId="24" fillId="31" borderId="146" xfId="0" applyFont="1" applyFill="1" applyBorder="1" applyAlignment="1">
      <alignment horizontal="center" vertical="center" wrapText="1"/>
    </xf>
    <xf numFmtId="9" fontId="73" fillId="4" borderId="142" xfId="1" applyFont="1" applyFill="1" applyBorder="1" applyAlignment="1">
      <alignment horizontal="center" vertical="center" wrapText="1"/>
    </xf>
    <xf numFmtId="168" fontId="25" fillId="4" borderId="147" xfId="101" applyNumberFormat="1" applyFont="1" applyFill="1" applyBorder="1" applyAlignment="1">
      <alignment horizontal="center" vertical="center" wrapText="1"/>
    </xf>
    <xf numFmtId="0" fontId="73" fillId="4" borderId="148" xfId="0" applyFont="1" applyFill="1" applyBorder="1" applyAlignment="1">
      <alignment horizontal="center" vertical="center" wrapText="1"/>
    </xf>
    <xf numFmtId="0" fontId="73" fillId="4" borderId="149" xfId="0" applyFont="1" applyFill="1" applyBorder="1" applyAlignment="1">
      <alignment horizontal="center" vertical="center" wrapText="1"/>
    </xf>
    <xf numFmtId="168" fontId="25" fillId="4" borderId="142" xfId="0" applyNumberFormat="1" applyFont="1" applyFill="1" applyBorder="1" applyAlignment="1">
      <alignment vertical="center" wrapText="1"/>
    </xf>
    <xf numFmtId="168" fontId="25" fillId="4" borderId="153" xfId="0" applyNumberFormat="1" applyFont="1" applyFill="1" applyBorder="1" applyAlignment="1">
      <alignment vertical="center" wrapText="1"/>
    </xf>
    <xf numFmtId="0" fontId="26" fillId="11" borderId="152" xfId="0" applyFont="1" applyFill="1" applyBorder="1" applyAlignment="1" applyProtection="1">
      <alignment horizontal="left" vertical="center" wrapText="1"/>
      <protection hidden="1"/>
    </xf>
    <xf numFmtId="168" fontId="25" fillId="4" borderId="15" xfId="0" applyNumberFormat="1" applyFont="1" applyFill="1" applyBorder="1" applyAlignment="1">
      <alignment vertical="center" wrapText="1"/>
    </xf>
    <xf numFmtId="0" fontId="26" fillId="11" borderId="154" xfId="0" applyFont="1" applyFill="1" applyBorder="1" applyAlignment="1" applyProtection="1">
      <alignment horizontal="left" vertical="center" wrapText="1"/>
      <protection hidden="1"/>
    </xf>
    <xf numFmtId="0" fontId="26" fillId="2" borderId="155" xfId="0" applyFont="1" applyFill="1" applyBorder="1" applyAlignment="1" applyProtection="1">
      <alignment horizontal="right" vertical="center" wrapText="1"/>
      <protection hidden="1"/>
    </xf>
    <xf numFmtId="168" fontId="25" fillId="2" borderId="156" xfId="0" applyNumberFormat="1" applyFont="1" applyFill="1" applyBorder="1" applyAlignment="1">
      <alignment vertical="center" wrapText="1"/>
    </xf>
    <xf numFmtId="168" fontId="25" fillId="2" borderId="157" xfId="0" applyNumberFormat="1" applyFont="1" applyFill="1" applyBorder="1" applyAlignment="1">
      <alignment vertical="center" wrapText="1"/>
    </xf>
    <xf numFmtId="0" fontId="25" fillId="4" borderId="108" xfId="0" applyFont="1" applyFill="1" applyBorder="1" applyAlignment="1">
      <alignment horizontal="center" vertical="center" wrapText="1"/>
    </xf>
    <xf numFmtId="168" fontId="0" fillId="0" borderId="0" xfId="0" applyNumberFormat="1" applyAlignment="1" applyProtection="1">
      <alignment horizontal="center" vertical="center"/>
      <protection locked="0"/>
    </xf>
    <xf numFmtId="0" fontId="0" fillId="0" borderId="0" xfId="0" applyAlignment="1" applyProtection="1">
      <alignment vertical="center"/>
      <protection locked="0"/>
    </xf>
    <xf numFmtId="0" fontId="2" fillId="0" borderId="0" xfId="0" applyFont="1" applyAlignment="1" applyProtection="1">
      <alignment vertical="center"/>
      <protection locked="0"/>
    </xf>
    <xf numFmtId="168" fontId="73" fillId="0" borderId="16" xfId="0" applyNumberFormat="1" applyFont="1" applyBorder="1" applyAlignment="1" applyProtection="1">
      <alignment horizontal="center" vertical="center"/>
      <protection locked="0"/>
    </xf>
    <xf numFmtId="0" fontId="73" fillId="0" borderId="1" xfId="0" applyFont="1" applyBorder="1" applyAlignment="1" applyProtection="1">
      <alignment horizontal="center" vertical="center"/>
      <protection locked="0"/>
    </xf>
    <xf numFmtId="0" fontId="25" fillId="0" borderId="15" xfId="0" applyFont="1" applyBorder="1" applyAlignment="1" applyProtection="1">
      <alignment horizontal="center" vertical="center"/>
      <protection locked="0"/>
    </xf>
    <xf numFmtId="0" fontId="83" fillId="8" borderId="40" xfId="0" applyFont="1" applyFill="1" applyBorder="1" applyAlignment="1">
      <alignment vertical="center" wrapText="1"/>
    </xf>
    <xf numFmtId="168" fontId="25" fillId="4" borderId="53" xfId="0" applyNumberFormat="1" applyFont="1" applyFill="1" applyBorder="1" applyAlignment="1">
      <alignment vertical="center"/>
    </xf>
    <xf numFmtId="0" fontId="83" fillId="8" borderId="70" xfId="0" applyFont="1" applyFill="1" applyBorder="1" applyAlignment="1">
      <alignment vertical="center" wrapText="1"/>
    </xf>
    <xf numFmtId="0" fontId="83" fillId="8" borderId="70" xfId="0" applyFont="1" applyFill="1" applyBorder="1" applyAlignment="1">
      <alignment vertical="center"/>
    </xf>
    <xf numFmtId="168" fontId="25" fillId="4" borderId="15" xfId="0" applyNumberFormat="1" applyFont="1" applyFill="1" applyBorder="1" applyAlignment="1">
      <alignment vertical="center"/>
    </xf>
    <xf numFmtId="0" fontId="25" fillId="0" borderId="0" xfId="0" applyFont="1" applyAlignment="1">
      <alignment vertical="center"/>
    </xf>
    <xf numFmtId="0" fontId="73" fillId="0" borderId="0" xfId="0" applyFont="1"/>
    <xf numFmtId="0" fontId="79" fillId="10" borderId="14" xfId="0" applyFont="1" applyFill="1" applyBorder="1" applyAlignment="1">
      <alignment horizontal="center" vertical="center" wrapText="1"/>
    </xf>
    <xf numFmtId="0" fontId="79" fillId="10" borderId="50" xfId="0" applyFont="1" applyFill="1" applyBorder="1" applyAlignment="1">
      <alignment horizontal="center" vertical="center" wrapText="1"/>
    </xf>
    <xf numFmtId="0" fontId="79" fillId="10" borderId="53" xfId="0" applyFont="1" applyFill="1" applyBorder="1" applyAlignment="1">
      <alignment horizontal="center" vertical="center" wrapText="1"/>
    </xf>
    <xf numFmtId="0" fontId="81" fillId="0" borderId="0" xfId="0" applyFont="1"/>
    <xf numFmtId="0" fontId="82" fillId="0" borderId="0" xfId="0" applyFont="1" applyAlignment="1">
      <alignment vertical="center" wrapText="1"/>
    </xf>
    <xf numFmtId="0" fontId="79" fillId="10" borderId="11" xfId="0" applyFont="1" applyFill="1" applyBorder="1" applyAlignment="1">
      <alignment horizontal="center" vertical="center" wrapText="1"/>
    </xf>
    <xf numFmtId="0" fontId="73" fillId="0" borderId="0" xfId="0" applyFont="1" applyAlignment="1">
      <alignment vertical="center"/>
    </xf>
    <xf numFmtId="0" fontId="88" fillId="0" borderId="0" xfId="6" quotePrefix="1" applyFont="1" applyBorder="1" applyAlignment="1" applyProtection="1">
      <alignment vertical="center"/>
    </xf>
    <xf numFmtId="0" fontId="73" fillId="0" borderId="0" xfId="0" quotePrefix="1" applyFont="1"/>
    <xf numFmtId="0" fontId="90" fillId="8" borderId="31" xfId="0" applyFont="1" applyFill="1" applyBorder="1" applyAlignment="1" applyProtection="1">
      <alignment horizontal="center" vertical="center" wrapText="1"/>
      <protection hidden="1"/>
    </xf>
    <xf numFmtId="0" fontId="84" fillId="27" borderId="27" xfId="0" applyFont="1" applyFill="1" applyBorder="1" applyAlignment="1">
      <alignment horizontal="center" vertical="center" wrapText="1"/>
    </xf>
    <xf numFmtId="164" fontId="73" fillId="4" borderId="69" xfId="0" applyNumberFormat="1" applyFont="1" applyFill="1" applyBorder="1" applyAlignment="1" applyProtection="1">
      <alignment horizontal="center" vertical="center"/>
      <protection hidden="1"/>
    </xf>
    <xf numFmtId="164" fontId="73" fillId="4" borderId="51" xfId="0" applyNumberFormat="1" applyFont="1" applyFill="1" applyBorder="1" applyAlignment="1" applyProtection="1">
      <alignment horizontal="center" vertical="center"/>
      <protection hidden="1"/>
    </xf>
    <xf numFmtId="0" fontId="26" fillId="10" borderId="52" xfId="0" applyFont="1" applyFill="1" applyBorder="1" applyAlignment="1">
      <alignment horizontal="center" vertical="center" wrapText="1"/>
    </xf>
    <xf numFmtId="0" fontId="93" fillId="10" borderId="17" xfId="0" applyFont="1" applyFill="1" applyBorder="1" applyAlignment="1">
      <alignment horizontal="center" vertical="center" wrapText="1"/>
    </xf>
    <xf numFmtId="168" fontId="73" fillId="0" borderId="0" xfId="0" applyNumberFormat="1" applyFont="1" applyAlignment="1" applyProtection="1">
      <alignment horizontal="center" vertical="center"/>
      <protection locked="0"/>
    </xf>
    <xf numFmtId="0" fontId="73" fillId="0" borderId="0" xfId="0" applyFont="1" applyAlignment="1" applyProtection="1">
      <alignment vertical="center"/>
      <protection locked="0"/>
    </xf>
    <xf numFmtId="0" fontId="25" fillId="0" borderId="0" xfId="0" applyFont="1" applyAlignment="1" applyProtection="1">
      <alignment vertical="center"/>
      <protection locked="0"/>
    </xf>
    <xf numFmtId="168" fontId="73" fillId="4" borderId="1" xfId="1" applyNumberFormat="1" applyFont="1" applyFill="1" applyBorder="1" applyAlignment="1" applyProtection="1">
      <alignment horizontal="center" vertical="center"/>
    </xf>
    <xf numFmtId="168" fontId="25" fillId="3" borderId="72" xfId="1" applyNumberFormat="1" applyFont="1" applyFill="1" applyBorder="1" applyAlignment="1" applyProtection="1">
      <alignment vertical="center"/>
    </xf>
    <xf numFmtId="168" fontId="25" fillId="0" borderId="0" xfId="0" applyNumberFormat="1" applyFont="1" applyAlignment="1">
      <alignment horizontal="right" vertical="center"/>
    </xf>
    <xf numFmtId="9" fontId="25" fillId="0" borderId="0" xfId="1" applyFont="1" applyFill="1" applyBorder="1" applyAlignment="1" applyProtection="1">
      <alignment horizontal="center" vertical="center"/>
    </xf>
    <xf numFmtId="0" fontId="94" fillId="4" borderId="125" xfId="0" applyFont="1" applyFill="1" applyBorder="1" applyAlignment="1">
      <alignment horizontal="center" vertical="center" wrapText="1"/>
    </xf>
    <xf numFmtId="168" fontId="73" fillId="4" borderId="126" xfId="1" applyNumberFormat="1" applyFont="1" applyFill="1" applyBorder="1" applyAlignment="1" applyProtection="1">
      <alignment horizontal="center" vertical="center"/>
    </xf>
    <xf numFmtId="0" fontId="94" fillId="4" borderId="123" xfId="0" applyFont="1" applyFill="1" applyBorder="1" applyAlignment="1">
      <alignment horizontal="center" vertical="center" wrapText="1"/>
    </xf>
    <xf numFmtId="0" fontId="94" fillId="4" borderId="128" xfId="0" applyFont="1" applyFill="1" applyBorder="1" applyAlignment="1">
      <alignment horizontal="center" vertical="center" wrapText="1"/>
    </xf>
    <xf numFmtId="168" fontId="73" fillId="4" borderId="161" xfId="0" applyNumberFormat="1" applyFont="1" applyFill="1" applyBorder="1" applyAlignment="1">
      <alignment vertical="center"/>
    </xf>
    <xf numFmtId="168" fontId="73" fillId="4" borderId="9" xfId="0" applyNumberFormat="1" applyFont="1" applyFill="1" applyBorder="1" applyAlignment="1">
      <alignment vertical="center"/>
    </xf>
    <xf numFmtId="168" fontId="73" fillId="4" borderId="162" xfId="0" applyNumberFormat="1" applyFont="1" applyFill="1" applyBorder="1" applyAlignment="1">
      <alignment vertical="center"/>
    </xf>
    <xf numFmtId="164" fontId="83" fillId="0" borderId="0" xfId="0" applyNumberFormat="1" applyFont="1" applyAlignment="1">
      <alignment horizontal="right" vertical="center" wrapText="1"/>
    </xf>
    <xf numFmtId="0" fontId="83" fillId="0" borderId="0" xfId="0" applyFont="1" applyAlignment="1">
      <alignment horizontal="left" vertical="center"/>
    </xf>
    <xf numFmtId="164" fontId="25" fillId="2" borderId="114" xfId="0" applyNumberFormat="1" applyFont="1" applyFill="1" applyBorder="1" applyAlignment="1">
      <alignment horizontal="right" vertical="center"/>
    </xf>
    <xf numFmtId="164" fontId="73" fillId="4" borderId="172" xfId="0" applyNumberFormat="1" applyFont="1" applyFill="1" applyBorder="1" applyAlignment="1" applyProtection="1">
      <alignment horizontal="center" vertical="center"/>
      <protection hidden="1"/>
    </xf>
    <xf numFmtId="0" fontId="84" fillId="27" borderId="174" xfId="0" applyFont="1" applyFill="1" applyBorder="1" applyAlignment="1">
      <alignment horizontal="center" vertical="center" wrapText="1"/>
    </xf>
    <xf numFmtId="0" fontId="26" fillId="12" borderId="179" xfId="0" applyFont="1" applyFill="1" applyBorder="1" applyAlignment="1">
      <alignment horizontal="center" vertical="center" wrapText="1"/>
    </xf>
    <xf numFmtId="0" fontId="93" fillId="12" borderId="167" xfId="0" applyFont="1" applyFill="1" applyBorder="1" applyAlignment="1">
      <alignment horizontal="center" vertical="center" wrapText="1"/>
    </xf>
    <xf numFmtId="168" fontId="73" fillId="0" borderId="123" xfId="0" applyNumberFormat="1" applyFont="1" applyBorder="1" applyAlignment="1" applyProtection="1">
      <alignment horizontal="center" vertical="center"/>
      <protection locked="0"/>
    </xf>
    <xf numFmtId="0" fontId="25" fillId="0" borderId="113" xfId="0" applyFont="1" applyBorder="1" applyAlignment="1" applyProtection="1">
      <alignment horizontal="center" vertical="center"/>
      <protection locked="0"/>
    </xf>
    <xf numFmtId="168" fontId="73" fillId="0" borderId="128" xfId="0" applyNumberFormat="1" applyFont="1" applyBorder="1" applyAlignment="1" applyProtection="1">
      <alignment horizontal="center" vertical="center"/>
      <protection locked="0"/>
    </xf>
    <xf numFmtId="0" fontId="73" fillId="0" borderId="129" xfId="0" applyFont="1" applyBorder="1" applyAlignment="1" applyProtection="1">
      <alignment horizontal="center" vertical="center"/>
      <protection locked="0"/>
    </xf>
    <xf numFmtId="0" fontId="25" fillId="0" borderId="180" xfId="0" applyFont="1" applyBorder="1" applyAlignment="1" applyProtection="1">
      <alignment horizontal="center" vertical="center"/>
      <protection locked="0"/>
    </xf>
    <xf numFmtId="168" fontId="73" fillId="0" borderId="181" xfId="0" applyNumberFormat="1" applyFont="1" applyBorder="1" applyAlignment="1" applyProtection="1">
      <alignment horizontal="center" vertical="center"/>
      <protection locked="0"/>
    </xf>
    <xf numFmtId="0" fontId="25" fillId="0" borderId="114" xfId="0" applyFont="1" applyBorder="1" applyAlignment="1" applyProtection="1">
      <alignment horizontal="center" vertical="center"/>
      <protection locked="0"/>
    </xf>
    <xf numFmtId="0" fontId="25" fillId="8" borderId="182" xfId="0" applyFont="1" applyFill="1" applyBorder="1" applyAlignment="1">
      <alignment vertical="center" wrapText="1"/>
    </xf>
    <xf numFmtId="168" fontId="73" fillId="4" borderId="136" xfId="6" applyNumberFormat="1" applyFont="1" applyFill="1" applyBorder="1" applyAlignment="1">
      <alignment vertical="center"/>
    </xf>
    <xf numFmtId="0" fontId="25" fillId="8" borderId="183" xfId="0" applyFont="1" applyFill="1" applyBorder="1" applyAlignment="1">
      <alignment vertical="center" wrapText="1"/>
    </xf>
    <xf numFmtId="168" fontId="73" fillId="4" borderId="114" xfId="6" applyNumberFormat="1" applyFont="1" applyFill="1" applyBorder="1" applyAlignment="1">
      <alignment vertical="center"/>
    </xf>
    <xf numFmtId="165" fontId="72" fillId="36" borderId="158" xfId="0" applyNumberFormat="1" applyFont="1" applyFill="1" applyBorder="1" applyAlignment="1">
      <alignment horizontal="center" vertical="center"/>
    </xf>
    <xf numFmtId="0" fontId="79" fillId="10" borderId="90" xfId="0" applyFont="1" applyFill="1" applyBorder="1" applyAlignment="1">
      <alignment horizontal="center" vertical="center" wrapText="1"/>
    </xf>
    <xf numFmtId="0" fontId="95" fillId="10" borderId="38" xfId="0" applyFont="1" applyFill="1" applyBorder="1" applyAlignment="1">
      <alignment horizontal="center" vertical="center" wrapText="1"/>
    </xf>
    <xf numFmtId="10" fontId="73" fillId="0" borderId="164" xfId="1" applyNumberFormat="1" applyFont="1" applyFill="1" applyBorder="1" applyAlignment="1" applyProtection="1">
      <alignment horizontal="center" vertical="center"/>
      <protection locked="0"/>
    </xf>
    <xf numFmtId="10" fontId="73" fillId="0" borderId="163" xfId="1" applyNumberFormat="1" applyFont="1" applyFill="1" applyBorder="1" applyAlignment="1" applyProtection="1">
      <alignment horizontal="center" vertical="center"/>
      <protection locked="0"/>
    </xf>
    <xf numFmtId="10" fontId="73" fillId="4" borderId="127" xfId="1" applyNumberFormat="1" applyFont="1" applyFill="1" applyBorder="1" applyAlignment="1" applyProtection="1">
      <alignment horizontal="center" vertical="center"/>
    </xf>
    <xf numFmtId="10" fontId="73" fillId="4" borderId="113" xfId="1" applyNumberFormat="1" applyFont="1" applyFill="1" applyBorder="1" applyAlignment="1" applyProtection="1">
      <alignment horizontal="center" vertical="center"/>
    </xf>
    <xf numFmtId="10" fontId="73" fillId="4" borderId="114" xfId="1" applyNumberFormat="1" applyFont="1" applyFill="1" applyBorder="1" applyAlignment="1" applyProtection="1">
      <alignment horizontal="center" vertical="center"/>
    </xf>
    <xf numFmtId="0" fontId="25" fillId="3" borderId="102" xfId="0" applyFont="1" applyFill="1" applyBorder="1" applyAlignment="1">
      <alignment horizontal="center" vertical="center"/>
    </xf>
    <xf numFmtId="0" fontId="101" fillId="0" borderId="0" xfId="0" applyFont="1" applyAlignment="1">
      <alignment horizontal="center" vertical="center" wrapText="1"/>
    </xf>
    <xf numFmtId="164" fontId="0" fillId="0" borderId="0" xfId="0" applyNumberFormat="1" applyAlignment="1" applyProtection="1">
      <alignment horizontal="center" vertical="center"/>
      <protection hidden="1"/>
    </xf>
    <xf numFmtId="20" fontId="24" fillId="31" borderId="57" xfId="0" applyNumberFormat="1" applyFont="1" applyFill="1" applyBorder="1" applyAlignment="1">
      <alignment horizontal="center" vertical="center" wrapText="1"/>
    </xf>
    <xf numFmtId="20" fontId="24" fillId="9" borderId="57" xfId="0" applyNumberFormat="1" applyFont="1" applyFill="1" applyBorder="1" applyAlignment="1">
      <alignment horizontal="center" vertical="center" wrapText="1"/>
    </xf>
    <xf numFmtId="168" fontId="24" fillId="9" borderId="57" xfId="0" applyNumberFormat="1" applyFont="1" applyFill="1" applyBorder="1" applyAlignment="1">
      <alignment horizontal="center" vertical="center" wrapText="1"/>
    </xf>
    <xf numFmtId="0" fontId="24" fillId="9" borderId="179" xfId="0" applyFont="1" applyFill="1" applyBorder="1" applyAlignment="1" applyProtection="1">
      <alignment horizontal="left" vertical="center" wrapText="1"/>
      <protection hidden="1"/>
    </xf>
    <xf numFmtId="164" fontId="98" fillId="4" borderId="172" xfId="0" applyNumberFormat="1" applyFont="1" applyFill="1" applyBorder="1" applyAlignment="1" applyProtection="1">
      <alignment horizontal="center" vertical="center"/>
      <protection hidden="1"/>
    </xf>
    <xf numFmtId="0" fontId="24" fillId="9" borderId="189" xfId="0" applyFont="1" applyFill="1" applyBorder="1" applyAlignment="1" applyProtection="1">
      <alignment horizontal="left" vertical="center" wrapText="1"/>
      <protection hidden="1"/>
    </xf>
    <xf numFmtId="164" fontId="98" fillId="4" borderId="171" xfId="0" applyNumberFormat="1" applyFont="1" applyFill="1" applyBorder="1" applyAlignment="1" applyProtection="1">
      <alignment horizontal="center" vertical="center"/>
      <protection hidden="1"/>
    </xf>
    <xf numFmtId="0" fontId="24" fillId="9" borderId="185" xfId="0" applyFont="1" applyFill="1" applyBorder="1" applyAlignment="1" applyProtection="1">
      <alignment horizontal="left" vertical="center" wrapText="1"/>
      <protection hidden="1"/>
    </xf>
    <xf numFmtId="0" fontId="24" fillId="9" borderId="128" xfId="0" applyFont="1" applyFill="1" applyBorder="1" applyAlignment="1" applyProtection="1">
      <alignment horizontal="left" vertical="center" wrapText="1"/>
      <protection hidden="1"/>
    </xf>
    <xf numFmtId="164" fontId="98" fillId="4" borderId="114" xfId="0" applyNumberFormat="1" applyFont="1" applyFill="1" applyBorder="1" applyAlignment="1" applyProtection="1">
      <alignment horizontal="center" vertical="center"/>
      <protection hidden="1"/>
    </xf>
    <xf numFmtId="168" fontId="81" fillId="4" borderId="57" xfId="1" applyNumberFormat="1" applyFont="1" applyFill="1" applyBorder="1" applyAlignment="1" applyProtection="1">
      <alignment horizontal="center" vertical="center"/>
      <protection hidden="1"/>
    </xf>
    <xf numFmtId="20" fontId="24" fillId="31" borderId="107" xfId="0" applyNumberFormat="1" applyFont="1" applyFill="1" applyBorder="1" applyAlignment="1">
      <alignment horizontal="center" vertical="center" wrapText="1"/>
    </xf>
    <xf numFmtId="20" fontId="24" fillId="9" borderId="107" xfId="0" applyNumberFormat="1" applyFont="1" applyFill="1" applyBorder="1" applyAlignment="1">
      <alignment horizontal="center" vertical="center" wrapText="1"/>
    </xf>
    <xf numFmtId="0" fontId="16" fillId="0" borderId="0" xfId="0" applyFont="1" applyAlignment="1" applyProtection="1">
      <alignment vertical="center"/>
      <protection hidden="1"/>
    </xf>
    <xf numFmtId="0" fontId="121" fillId="0" borderId="0" xfId="0" applyFont="1" applyAlignment="1" applyProtection="1">
      <alignment horizontal="center" vertical="center"/>
      <protection locked="0"/>
    </xf>
    <xf numFmtId="0" fontId="123" fillId="0" borderId="0" xfId="0" applyFont="1" applyAlignment="1" applyProtection="1">
      <alignment horizontal="center" vertical="center"/>
      <protection locked="0"/>
    </xf>
    <xf numFmtId="0" fontId="101" fillId="0" borderId="193" xfId="0" applyFont="1" applyBorder="1" applyAlignment="1">
      <alignment horizontal="center" vertical="center" wrapText="1"/>
    </xf>
    <xf numFmtId="0" fontId="0" fillId="0" borderId="194" xfId="0" applyBorder="1" applyProtection="1">
      <protection hidden="1"/>
    </xf>
    <xf numFmtId="0" fontId="16" fillId="0" borderId="194" xfId="0" applyFont="1" applyBorder="1" applyProtection="1">
      <protection hidden="1"/>
    </xf>
    <xf numFmtId="0" fontId="16" fillId="0" borderId="193" xfId="0" applyFont="1" applyBorder="1" applyProtection="1">
      <protection hidden="1"/>
    </xf>
    <xf numFmtId="0" fontId="0" fillId="0" borderId="193" xfId="0" applyBorder="1" applyProtection="1">
      <protection hidden="1"/>
    </xf>
    <xf numFmtId="0" fontId="2" fillId="0" borderId="194" xfId="0" applyFont="1" applyBorder="1" applyAlignment="1" applyProtection="1">
      <alignment horizontal="left" vertical="center" wrapText="1"/>
      <protection hidden="1"/>
    </xf>
    <xf numFmtId="0" fontId="2" fillId="0" borderId="194" xfId="0" applyFont="1" applyBorder="1" applyAlignment="1" applyProtection="1">
      <alignment vertical="center" wrapText="1"/>
      <protection hidden="1"/>
    </xf>
    <xf numFmtId="0" fontId="0" fillId="0" borderId="195" xfId="0" applyBorder="1" applyProtection="1">
      <protection hidden="1"/>
    </xf>
    <xf numFmtId="0" fontId="0" fillId="0" borderId="196" xfId="0" applyBorder="1" applyProtection="1">
      <protection hidden="1"/>
    </xf>
    <xf numFmtId="0" fontId="0" fillId="0" borderId="197" xfId="0" applyBorder="1" applyProtection="1">
      <protection hidden="1"/>
    </xf>
    <xf numFmtId="0" fontId="114" fillId="8" borderId="57" xfId="0" applyFont="1" applyFill="1" applyBorder="1" applyAlignment="1" applyProtection="1">
      <alignment horizontal="center" vertical="center" wrapText="1"/>
      <protection hidden="1"/>
    </xf>
    <xf numFmtId="164" fontId="115" fillId="4" borderId="57" xfId="0" applyNumberFormat="1" applyFont="1" applyFill="1" applyBorder="1" applyAlignment="1" applyProtection="1">
      <alignment horizontal="center" vertical="center"/>
      <protection hidden="1"/>
    </xf>
    <xf numFmtId="0" fontId="117" fillId="31" borderId="57" xfId="0" applyFont="1" applyFill="1" applyBorder="1" applyAlignment="1">
      <alignment horizontal="center" vertical="center" wrapText="1"/>
    </xf>
    <xf numFmtId="0" fontId="117" fillId="9" borderId="57" xfId="0" applyFont="1" applyFill="1" applyBorder="1" applyAlignment="1">
      <alignment horizontal="center" vertical="center" wrapText="1"/>
    </xf>
    <xf numFmtId="0" fontId="82" fillId="9" borderId="57" xfId="0" applyFont="1" applyFill="1" applyBorder="1" applyAlignment="1" applyProtection="1">
      <alignment horizontal="center" vertical="center" wrapText="1"/>
      <protection hidden="1"/>
    </xf>
    <xf numFmtId="0" fontId="79" fillId="9" borderId="57" xfId="0" applyFont="1" applyFill="1" applyBorder="1" applyAlignment="1" applyProtection="1">
      <alignment horizontal="center" vertical="center" wrapText="1"/>
      <protection hidden="1"/>
    </xf>
    <xf numFmtId="0" fontId="79" fillId="9" borderId="57" xfId="0" applyFont="1" applyFill="1" applyBorder="1" applyAlignment="1">
      <alignment horizontal="center" vertical="center" wrapText="1"/>
    </xf>
    <xf numFmtId="10" fontId="81" fillId="4" borderId="57" xfId="1" applyNumberFormat="1" applyFont="1" applyFill="1" applyBorder="1" applyAlignment="1" applyProtection="1">
      <alignment horizontal="center" vertical="center"/>
      <protection hidden="1"/>
    </xf>
    <xf numFmtId="168" fontId="81" fillId="4" borderId="57" xfId="0" applyNumberFormat="1" applyFont="1" applyFill="1" applyBorder="1" applyAlignment="1" applyProtection="1">
      <alignment horizontal="center" vertical="center"/>
      <protection hidden="1"/>
    </xf>
    <xf numFmtId="10" fontId="81" fillId="4" borderId="57" xfId="0" applyNumberFormat="1" applyFont="1" applyFill="1" applyBorder="1" applyAlignment="1" applyProtection="1">
      <alignment horizontal="center" vertical="center"/>
      <protection hidden="1"/>
    </xf>
    <xf numFmtId="0" fontId="103" fillId="0" borderId="194" xfId="0" applyFont="1" applyBorder="1" applyAlignment="1">
      <alignment vertical="center" wrapText="1"/>
    </xf>
    <xf numFmtId="0" fontId="2" fillId="0" borderId="0" xfId="0" applyFont="1" applyAlignment="1" applyProtection="1">
      <alignment horizontal="center" vertical="center" wrapText="1"/>
      <protection hidden="1"/>
    </xf>
    <xf numFmtId="0" fontId="2" fillId="0" borderId="194" xfId="0" applyFont="1" applyBorder="1" applyAlignment="1" applyProtection="1">
      <alignment horizontal="center" vertical="center" wrapText="1"/>
      <protection hidden="1"/>
    </xf>
    <xf numFmtId="0" fontId="87" fillId="9" borderId="57" xfId="0" applyFont="1" applyFill="1" applyBorder="1" applyAlignment="1" applyProtection="1">
      <alignment horizontal="center" vertical="center" wrapText="1"/>
      <protection hidden="1"/>
    </xf>
    <xf numFmtId="0" fontId="125" fillId="9" borderId="57" xfId="0" applyFont="1" applyFill="1" applyBorder="1" applyAlignment="1" applyProtection="1">
      <alignment horizontal="center" vertical="center" wrapText="1"/>
      <protection hidden="1"/>
    </xf>
    <xf numFmtId="0" fontId="125" fillId="9" borderId="57" xfId="0" quotePrefix="1" applyFont="1" applyFill="1" applyBorder="1" applyAlignment="1" applyProtection="1">
      <alignment horizontal="center" vertical="center" wrapText="1"/>
      <protection hidden="1"/>
    </xf>
    <xf numFmtId="0" fontId="124" fillId="9" borderId="57" xfId="0" applyFont="1" applyFill="1" applyBorder="1" applyAlignment="1" applyProtection="1">
      <alignment horizontal="center" vertical="center" wrapText="1"/>
      <protection hidden="1"/>
    </xf>
    <xf numFmtId="0" fontId="54" fillId="0" borderId="194" xfId="0" applyFont="1" applyBorder="1" applyProtection="1">
      <protection hidden="1"/>
    </xf>
    <xf numFmtId="0" fontId="54" fillId="0" borderId="0" xfId="0" applyFont="1" applyProtection="1">
      <protection hidden="1"/>
    </xf>
    <xf numFmtId="0" fontId="69" fillId="0" borderId="0" xfId="0" applyFont="1" applyAlignment="1">
      <alignment vertical="center" wrapText="1"/>
    </xf>
    <xf numFmtId="9" fontId="69" fillId="0" borderId="0" xfId="1" applyFont="1" applyBorder="1" applyAlignment="1">
      <alignment vertical="center" wrapText="1"/>
    </xf>
    <xf numFmtId="0" fontId="15" fillId="0" borderId="0" xfId="0" applyFont="1" applyAlignment="1" applyProtection="1">
      <alignment horizontal="center" vertical="center" wrapText="1"/>
      <protection hidden="1"/>
    </xf>
    <xf numFmtId="168" fontId="16" fillId="0" borderId="0" xfId="0" applyNumberFormat="1" applyFont="1" applyAlignment="1" applyProtection="1">
      <alignment horizontal="right" vertical="center" wrapText="1"/>
      <protection hidden="1"/>
    </xf>
    <xf numFmtId="168" fontId="15" fillId="0" borderId="0" xfId="0" applyNumberFormat="1" applyFont="1" applyAlignment="1" applyProtection="1">
      <alignment horizontal="right" vertical="center"/>
      <protection hidden="1"/>
    </xf>
    <xf numFmtId="168" fontId="59" fillId="0" borderId="0" xfId="0" applyNumberFormat="1" applyFont="1" applyAlignment="1" applyProtection="1">
      <alignment horizontal="right" vertical="center" wrapText="1"/>
      <protection hidden="1"/>
    </xf>
    <xf numFmtId="0" fontId="114" fillId="8" borderId="108" xfId="0" applyFont="1" applyFill="1" applyBorder="1" applyAlignment="1" applyProtection="1">
      <alignment horizontal="center" vertical="center" wrapText="1"/>
      <protection hidden="1"/>
    </xf>
    <xf numFmtId="164" fontId="115" fillId="4" borderId="108" xfId="0" applyNumberFormat="1" applyFont="1" applyFill="1" applyBorder="1" applyAlignment="1" applyProtection="1">
      <alignment horizontal="center" vertical="center"/>
      <protection hidden="1"/>
    </xf>
    <xf numFmtId="164" fontId="115" fillId="4" borderId="110" xfId="0" applyNumberFormat="1" applyFont="1" applyFill="1" applyBorder="1" applyAlignment="1" applyProtection="1">
      <alignment horizontal="center" vertical="center"/>
      <protection hidden="1"/>
    </xf>
    <xf numFmtId="164" fontId="115" fillId="4" borderId="111" xfId="0" applyNumberFormat="1" applyFont="1" applyFill="1" applyBorder="1" applyAlignment="1" applyProtection="1">
      <alignment horizontal="center" vertical="center"/>
      <protection hidden="1"/>
    </xf>
    <xf numFmtId="0" fontId="117" fillId="9" borderId="108" xfId="0" applyFont="1" applyFill="1" applyBorder="1" applyAlignment="1">
      <alignment horizontal="center" vertical="center" wrapText="1"/>
    </xf>
    <xf numFmtId="0" fontId="82" fillId="9" borderId="108" xfId="0" applyFont="1" applyFill="1" applyBorder="1" applyAlignment="1" applyProtection="1">
      <alignment horizontal="center" vertical="center" wrapText="1"/>
      <protection hidden="1"/>
    </xf>
    <xf numFmtId="0" fontId="124" fillId="9" borderId="108" xfId="0" applyFont="1" applyFill="1" applyBorder="1" applyAlignment="1" applyProtection="1">
      <alignment horizontal="center" vertical="center" wrapText="1"/>
      <protection hidden="1"/>
    </xf>
    <xf numFmtId="0" fontId="86" fillId="4" borderId="107" xfId="0" applyFont="1" applyFill="1" applyBorder="1" applyAlignment="1" applyProtection="1">
      <alignment horizontal="center" vertical="center" wrapText="1"/>
      <protection hidden="1"/>
    </xf>
    <xf numFmtId="0" fontId="82" fillId="3" borderId="109" xfId="0" applyFont="1" applyFill="1" applyBorder="1" applyAlignment="1" applyProtection="1">
      <alignment horizontal="center" vertical="center"/>
      <protection hidden="1"/>
    </xf>
    <xf numFmtId="164" fontId="82" fillId="3" borderId="110" xfId="0" applyNumberFormat="1" applyFont="1" applyFill="1" applyBorder="1" applyAlignment="1" applyProtection="1">
      <alignment horizontal="center" vertical="center"/>
      <protection hidden="1"/>
    </xf>
    <xf numFmtId="9" fontId="82" fillId="3" borderId="110" xfId="1" applyFont="1" applyFill="1" applyBorder="1" applyAlignment="1" applyProtection="1">
      <alignment horizontal="center" vertical="center"/>
      <protection hidden="1"/>
    </xf>
    <xf numFmtId="168" fontId="82" fillId="3" borderId="110" xfId="1" applyNumberFormat="1" applyFont="1" applyFill="1" applyBorder="1" applyAlignment="1" applyProtection="1">
      <alignment horizontal="center" vertical="center"/>
      <protection hidden="1"/>
    </xf>
    <xf numFmtId="168" fontId="82" fillId="3" borderId="110" xfId="0" applyNumberFormat="1" applyFont="1" applyFill="1" applyBorder="1" applyAlignment="1" applyProtection="1">
      <alignment horizontal="center" vertical="center"/>
      <protection hidden="1"/>
    </xf>
    <xf numFmtId="9" fontId="82" fillId="3" borderId="111" xfId="1" applyFont="1" applyFill="1" applyBorder="1" applyAlignment="1" applyProtection="1">
      <alignment horizontal="center" vertical="center"/>
      <protection hidden="1"/>
    </xf>
    <xf numFmtId="20" fontId="24" fillId="31" borderId="108" xfId="0" applyNumberFormat="1" applyFont="1" applyFill="1" applyBorder="1" applyAlignment="1">
      <alignment horizontal="center" vertical="center" wrapText="1"/>
    </xf>
    <xf numFmtId="168" fontId="24" fillId="9" borderId="108" xfId="0" applyNumberFormat="1" applyFont="1" applyFill="1" applyBorder="1" applyAlignment="1">
      <alignment horizontal="center" vertical="center" wrapText="1"/>
    </xf>
    <xf numFmtId="168" fontId="16" fillId="4" borderId="109" xfId="0" applyNumberFormat="1" applyFont="1" applyFill="1" applyBorder="1" applyAlignment="1" applyProtection="1">
      <alignment horizontal="right" vertical="center" wrapText="1"/>
      <protection hidden="1"/>
    </xf>
    <xf numFmtId="168" fontId="16" fillId="4" borderId="110" xfId="0" applyNumberFormat="1" applyFont="1" applyFill="1" applyBorder="1" applyAlignment="1" applyProtection="1">
      <alignment horizontal="right" vertical="center" wrapText="1"/>
      <protection hidden="1"/>
    </xf>
    <xf numFmtId="168" fontId="108" fillId="4" borderId="110" xfId="0" applyNumberFormat="1" applyFont="1" applyFill="1" applyBorder="1" applyAlignment="1">
      <alignment horizontal="center" vertical="center" wrapText="1"/>
    </xf>
    <xf numFmtId="168" fontId="98" fillId="4" borderId="110" xfId="0" applyNumberFormat="1" applyFont="1" applyFill="1" applyBorder="1" applyAlignment="1">
      <alignment horizontal="center" vertical="center" wrapText="1"/>
    </xf>
    <xf numFmtId="168" fontId="108" fillId="4" borderId="111" xfId="0" applyNumberFormat="1" applyFont="1" applyFill="1" applyBorder="1" applyAlignment="1">
      <alignment horizontal="center" vertical="center" wrapText="1"/>
    </xf>
    <xf numFmtId="168" fontId="24" fillId="9" borderId="107" xfId="0" applyNumberFormat="1" applyFont="1" applyFill="1" applyBorder="1" applyAlignment="1">
      <alignment horizontal="center" vertical="center" wrapText="1"/>
    </xf>
    <xf numFmtId="20" fontId="24" fillId="9" borderId="108" xfId="0" applyNumberFormat="1" applyFont="1" applyFill="1" applyBorder="1" applyAlignment="1">
      <alignment horizontal="center" vertical="center" wrapText="1"/>
    </xf>
    <xf numFmtId="168" fontId="98" fillId="4" borderId="109" xfId="0" applyNumberFormat="1" applyFont="1" applyFill="1" applyBorder="1" applyAlignment="1">
      <alignment horizontal="center" vertical="center" wrapText="1"/>
    </xf>
    <xf numFmtId="10" fontId="24" fillId="4" borderId="110" xfId="0" applyNumberFormat="1" applyFont="1" applyFill="1" applyBorder="1" applyAlignment="1">
      <alignment horizontal="center" vertical="center"/>
    </xf>
    <xf numFmtId="168" fontId="24" fillId="4" borderId="110" xfId="0" applyNumberFormat="1" applyFont="1" applyFill="1" applyBorder="1" applyAlignment="1">
      <alignment horizontal="center" vertical="center" wrapText="1"/>
    </xf>
    <xf numFmtId="168" fontId="24" fillId="4" borderId="111" xfId="0" applyNumberFormat="1" applyFont="1" applyFill="1" applyBorder="1" applyAlignment="1">
      <alignment horizontal="center" vertical="center" wrapText="1"/>
    </xf>
    <xf numFmtId="0" fontId="25" fillId="11" borderId="204" xfId="0" applyFont="1" applyFill="1" applyBorder="1" applyAlignment="1">
      <alignment vertical="center" wrapText="1"/>
    </xf>
    <xf numFmtId="168" fontId="25" fillId="4" borderId="206" xfId="0" applyNumberFormat="1" applyFont="1" applyFill="1" applyBorder="1" applyAlignment="1">
      <alignment vertical="center" wrapText="1"/>
    </xf>
    <xf numFmtId="0" fontId="75" fillId="11" borderId="107" xfId="0" applyFont="1" applyFill="1" applyBorder="1" applyAlignment="1">
      <alignment horizontal="right" vertical="center" wrapText="1"/>
    </xf>
    <xf numFmtId="168" fontId="75" fillId="4" borderId="108" xfId="0" applyNumberFormat="1" applyFont="1" applyFill="1" applyBorder="1" applyAlignment="1">
      <alignment vertical="center" wrapText="1"/>
    </xf>
    <xf numFmtId="0" fontId="126" fillId="11" borderId="107" xfId="0" applyFont="1" applyFill="1" applyBorder="1" applyAlignment="1">
      <alignment horizontal="right" vertical="center" wrapText="1"/>
    </xf>
    <xf numFmtId="0" fontId="26" fillId="2" borderId="109" xfId="0" applyFont="1" applyFill="1" applyBorder="1" applyAlignment="1" applyProtection="1">
      <alignment horizontal="right" vertical="center" wrapText="1"/>
      <protection hidden="1"/>
    </xf>
    <xf numFmtId="168" fontId="25" fillId="2" borderId="111" xfId="0" applyNumberFormat="1" applyFont="1" applyFill="1" applyBorder="1" applyAlignment="1">
      <alignment vertical="center" wrapText="1"/>
    </xf>
    <xf numFmtId="10" fontId="25" fillId="4" borderId="108" xfId="1" applyNumberFormat="1" applyFont="1" applyFill="1" applyBorder="1" applyAlignment="1">
      <alignment vertical="center" wrapText="1"/>
    </xf>
    <xf numFmtId="0" fontId="17" fillId="0" borderId="0" xfId="0" applyFont="1" applyAlignment="1">
      <alignment vertical="center" wrapText="1"/>
    </xf>
    <xf numFmtId="0" fontId="25" fillId="2" borderId="208" xfId="0" applyFont="1" applyFill="1" applyBorder="1" applyAlignment="1">
      <alignment horizontal="center" vertical="center" wrapText="1"/>
    </xf>
    <xf numFmtId="168" fontId="73" fillId="4" borderId="5" xfId="0" applyNumberFormat="1" applyFont="1" applyFill="1" applyBorder="1" applyAlignment="1">
      <alignment vertical="center" wrapText="1"/>
    </xf>
    <xf numFmtId="168" fontId="73" fillId="4" borderId="58" xfId="0" applyNumberFormat="1" applyFont="1" applyFill="1" applyBorder="1" applyAlignment="1">
      <alignment vertical="center" wrapText="1"/>
    </xf>
    <xf numFmtId="0" fontId="25" fillId="4" borderId="206" xfId="0" applyFont="1" applyFill="1" applyBorder="1" applyAlignment="1">
      <alignment horizontal="center" vertical="center" wrapText="1"/>
    </xf>
    <xf numFmtId="168" fontId="115" fillId="4" borderId="163" xfId="0" applyNumberFormat="1" applyFont="1" applyFill="1" applyBorder="1" applyAlignment="1" applyProtection="1">
      <alignment horizontal="center" vertical="center"/>
      <protection hidden="1"/>
    </xf>
    <xf numFmtId="164" fontId="115" fillId="4" borderId="140" xfId="0" applyNumberFormat="1" applyFont="1" applyFill="1" applyBorder="1" applyAlignment="1" applyProtection="1">
      <alignment horizontal="center" vertical="center"/>
      <protection hidden="1"/>
    </xf>
    <xf numFmtId="168" fontId="81" fillId="4" borderId="140" xfId="1" applyNumberFormat="1" applyFont="1" applyFill="1" applyBorder="1" applyAlignment="1" applyProtection="1">
      <alignment horizontal="center" vertical="center"/>
      <protection hidden="1"/>
    </xf>
    <xf numFmtId="0" fontId="104" fillId="26" borderId="139" xfId="0" applyFont="1" applyFill="1" applyBorder="1" applyAlignment="1" applyProtection="1">
      <alignment horizontal="center" vertical="center" wrapText="1"/>
      <protection hidden="1"/>
    </xf>
    <xf numFmtId="0" fontId="104" fillId="26" borderId="1" xfId="0" applyFont="1" applyFill="1" applyBorder="1" applyAlignment="1" applyProtection="1">
      <alignment horizontal="center" vertical="center" wrapText="1"/>
      <protection hidden="1"/>
    </xf>
    <xf numFmtId="165" fontId="122" fillId="36" borderId="158" xfId="0" applyNumberFormat="1" applyFont="1" applyFill="1" applyBorder="1" applyAlignment="1">
      <alignment horizontal="center" vertical="center"/>
    </xf>
    <xf numFmtId="9" fontId="81" fillId="4" borderId="57" xfId="1" applyFont="1" applyFill="1" applyBorder="1" applyAlignment="1" applyProtection="1">
      <alignment horizontal="center" vertical="center"/>
      <protection hidden="1"/>
    </xf>
    <xf numFmtId="164" fontId="73" fillId="4" borderId="101" xfId="0" applyNumberFormat="1" applyFont="1" applyFill="1" applyBorder="1" applyAlignment="1">
      <alignment horizontal="center" vertical="center"/>
    </xf>
    <xf numFmtId="164" fontId="73" fillId="4" borderId="0" xfId="0" applyNumberFormat="1" applyFont="1" applyFill="1" applyAlignment="1">
      <alignment horizontal="center" vertical="center"/>
    </xf>
    <xf numFmtId="10" fontId="73" fillId="0" borderId="83" xfId="1" applyNumberFormat="1" applyFont="1" applyFill="1" applyBorder="1" applyAlignment="1" applyProtection="1">
      <alignment horizontal="center" vertical="center"/>
      <protection locked="0"/>
    </xf>
    <xf numFmtId="9" fontId="73" fillId="4" borderId="1" xfId="1" applyFont="1" applyFill="1" applyBorder="1" applyAlignment="1">
      <alignment horizontal="center" vertical="center"/>
    </xf>
    <xf numFmtId="168" fontId="25" fillId="3" borderId="158" xfId="1" applyNumberFormat="1" applyFont="1" applyFill="1" applyBorder="1" applyAlignment="1" applyProtection="1">
      <alignment vertical="center"/>
    </xf>
    <xf numFmtId="164" fontId="73" fillId="4" borderId="2" xfId="0" applyNumberFormat="1" applyFont="1" applyFill="1" applyBorder="1" applyAlignment="1">
      <alignment horizontal="center" vertical="center"/>
    </xf>
    <xf numFmtId="9" fontId="73" fillId="4" borderId="169" xfId="1" applyFont="1" applyFill="1" applyBorder="1" applyAlignment="1">
      <alignment horizontal="center" vertical="center"/>
    </xf>
    <xf numFmtId="9" fontId="73" fillId="4" borderId="26" xfId="1" applyFont="1" applyFill="1" applyBorder="1" applyAlignment="1">
      <alignment horizontal="center" vertical="center"/>
    </xf>
    <xf numFmtId="9" fontId="25" fillId="3" borderId="158" xfId="1" applyFont="1" applyFill="1" applyBorder="1" applyAlignment="1">
      <alignment horizontal="center" vertical="center"/>
    </xf>
    <xf numFmtId="164" fontId="25" fillId="3" borderId="160" xfId="0" applyNumberFormat="1" applyFont="1" applyFill="1" applyBorder="1" applyAlignment="1">
      <alignment horizontal="center" vertical="center"/>
    </xf>
    <xf numFmtId="9" fontId="25" fillId="3" borderId="133" xfId="1" applyFont="1" applyFill="1" applyBorder="1" applyAlignment="1" applyProtection="1">
      <alignment horizontal="center" vertical="center"/>
    </xf>
    <xf numFmtId="168" fontId="73" fillId="4" borderId="148" xfId="0" applyNumberFormat="1" applyFont="1" applyFill="1" applyBorder="1" applyAlignment="1">
      <alignment vertical="center"/>
    </xf>
    <xf numFmtId="168" fontId="73" fillId="4" borderId="149" xfId="0" applyNumberFormat="1" applyFont="1" applyFill="1" applyBorder="1" applyAlignment="1">
      <alignment vertical="center"/>
    </xf>
    <xf numFmtId="168" fontId="73" fillId="4" borderId="1" xfId="0" applyNumberFormat="1" applyFont="1" applyFill="1" applyBorder="1" applyAlignment="1">
      <alignment vertical="center"/>
    </xf>
    <xf numFmtId="9" fontId="73" fillId="4" borderId="122" xfId="1" applyFont="1" applyFill="1" applyBorder="1" applyAlignment="1" applyProtection="1">
      <alignment horizontal="center" vertical="center"/>
    </xf>
    <xf numFmtId="0" fontId="79" fillId="10" borderId="32" xfId="0" applyFont="1" applyFill="1" applyBorder="1" applyAlignment="1">
      <alignment horizontal="center" vertical="center" wrapText="1"/>
    </xf>
    <xf numFmtId="0" fontId="85" fillId="10" borderId="11" xfId="0" applyFont="1" applyFill="1" applyBorder="1" applyAlignment="1">
      <alignment horizontal="center" vertical="center" wrapText="1"/>
    </xf>
    <xf numFmtId="9" fontId="25" fillId="3" borderId="4" xfId="1" applyFont="1" applyFill="1" applyBorder="1" applyAlignment="1">
      <alignment horizontal="center" vertical="center"/>
    </xf>
    <xf numFmtId="168" fontId="73" fillId="4" borderId="198" xfId="0" applyNumberFormat="1" applyFont="1" applyFill="1" applyBorder="1" applyAlignment="1">
      <alignment vertical="center"/>
    </xf>
    <xf numFmtId="168" fontId="73" fillId="4" borderId="101" xfId="0" applyNumberFormat="1" applyFont="1" applyFill="1" applyBorder="1" applyAlignment="1">
      <alignment vertical="center"/>
    </xf>
    <xf numFmtId="168" fontId="25" fillId="3" borderId="158" xfId="1" applyNumberFormat="1" applyFont="1" applyFill="1" applyBorder="1" applyAlignment="1" applyProtection="1">
      <alignment horizontal="right" vertical="center"/>
    </xf>
    <xf numFmtId="0" fontId="65" fillId="34" borderId="212" xfId="0" applyFont="1" applyFill="1" applyBorder="1" applyAlignment="1">
      <alignment horizontal="right" vertical="center" wrapText="1"/>
    </xf>
    <xf numFmtId="168" fontId="25" fillId="2" borderId="101" xfId="0" applyNumberFormat="1" applyFont="1" applyFill="1" applyBorder="1" applyAlignment="1">
      <alignment vertical="center" wrapText="1"/>
    </xf>
    <xf numFmtId="168" fontId="25" fillId="2" borderId="146" xfId="0" applyNumberFormat="1" applyFont="1" applyFill="1" applyBorder="1" applyAlignment="1">
      <alignment vertical="center" wrapText="1"/>
    </xf>
    <xf numFmtId="168" fontId="25" fillId="4" borderId="149" xfId="0" applyNumberFormat="1" applyFont="1" applyFill="1" applyBorder="1" applyAlignment="1">
      <alignment vertical="center" wrapText="1"/>
    </xf>
    <xf numFmtId="0" fontId="26" fillId="11" borderId="213" xfId="0" applyFont="1" applyFill="1" applyBorder="1" applyAlignment="1" applyProtection="1">
      <alignment horizontal="left" vertical="center" wrapText="1"/>
      <protection hidden="1"/>
    </xf>
    <xf numFmtId="168" fontId="25" fillId="4" borderId="214" xfId="0" applyNumberFormat="1" applyFont="1" applyFill="1" applyBorder="1" applyAlignment="1">
      <alignment vertical="center" wrapText="1"/>
    </xf>
    <xf numFmtId="168" fontId="25" fillId="4" borderId="34" xfId="0" applyNumberFormat="1" applyFont="1" applyFill="1" applyBorder="1" applyAlignment="1">
      <alignment vertical="center" wrapText="1"/>
    </xf>
    <xf numFmtId="0" fontId="0" fillId="0" borderId="1" xfId="0" applyBorder="1" applyAlignment="1" applyProtection="1">
      <alignment horizontal="center" vertical="center" wrapText="1"/>
      <protection locked="0"/>
    </xf>
    <xf numFmtId="0" fontId="4" fillId="0" borderId="1" xfId="0" applyFont="1" applyBorder="1" applyProtection="1">
      <protection locked="0"/>
    </xf>
    <xf numFmtId="168" fontId="4" fillId="0" borderId="1" xfId="0" applyNumberFormat="1" applyFont="1" applyBorder="1" applyAlignment="1" applyProtection="1">
      <alignment horizontal="center" vertical="center"/>
      <protection locked="0"/>
    </xf>
    <xf numFmtId="0" fontId="90" fillId="8" borderId="32" xfId="0" applyFont="1" applyFill="1" applyBorder="1" applyAlignment="1" applyProtection="1">
      <alignment horizontal="center" vertical="center" wrapText="1"/>
      <protection hidden="1"/>
    </xf>
    <xf numFmtId="0" fontId="25" fillId="4" borderId="141" xfId="0" applyFont="1" applyFill="1" applyBorder="1" applyAlignment="1">
      <alignment horizontal="center" vertical="center" wrapText="1"/>
    </xf>
    <xf numFmtId="168" fontId="24" fillId="4" borderId="221" xfId="0" applyNumberFormat="1" applyFont="1" applyFill="1" applyBorder="1" applyAlignment="1">
      <alignment horizontal="center" vertical="center" wrapText="1"/>
    </xf>
    <xf numFmtId="0" fontId="79" fillId="9" borderId="140" xfId="0" applyFont="1" applyFill="1" applyBorder="1" applyAlignment="1" applyProtection="1">
      <alignment horizontal="center" vertical="center" wrapText="1"/>
      <protection hidden="1"/>
    </xf>
    <xf numFmtId="0" fontId="79" fillId="9" borderId="149" xfId="0" applyFont="1" applyFill="1" applyBorder="1" applyAlignment="1" applyProtection="1">
      <alignment horizontal="center" vertical="center" wrapText="1"/>
      <protection hidden="1"/>
    </xf>
    <xf numFmtId="0" fontId="81" fillId="6" borderId="141" xfId="0" applyFont="1" applyFill="1" applyBorder="1" applyAlignment="1" applyProtection="1">
      <alignment horizontal="center" vertical="center"/>
      <protection locked="0"/>
    </xf>
    <xf numFmtId="0" fontId="81" fillId="6" borderId="205" xfId="0" applyFont="1" applyFill="1" applyBorder="1" applyAlignment="1" applyProtection="1">
      <alignment horizontal="center" vertical="center"/>
      <protection locked="0"/>
    </xf>
    <xf numFmtId="0" fontId="81" fillId="6" borderId="206" xfId="0" applyFont="1" applyFill="1" applyBorder="1" applyAlignment="1" applyProtection="1">
      <alignment horizontal="center" vertical="center"/>
      <protection locked="0"/>
    </xf>
    <xf numFmtId="9" fontId="73" fillId="4" borderId="3" xfId="1" applyFont="1" applyFill="1" applyBorder="1" applyAlignment="1">
      <alignment horizontal="center" vertical="center"/>
    </xf>
    <xf numFmtId="9" fontId="73" fillId="4" borderId="209" xfId="1" applyFont="1" applyFill="1" applyBorder="1" applyAlignment="1">
      <alignment horizontal="center" vertical="center"/>
    </xf>
    <xf numFmtId="164" fontId="73" fillId="4" borderId="1" xfId="0" applyNumberFormat="1" applyFont="1" applyFill="1" applyBorder="1" applyAlignment="1">
      <alignment horizontal="center" vertical="center"/>
    </xf>
    <xf numFmtId="168" fontId="73" fillId="4" borderId="130" xfId="1" applyNumberFormat="1" applyFont="1" applyFill="1" applyBorder="1" applyAlignment="1" applyProtection="1">
      <alignment horizontal="right" vertical="center"/>
    </xf>
    <xf numFmtId="168" fontId="73" fillId="4" borderId="124" xfId="1" applyNumberFormat="1" applyFont="1" applyFill="1" applyBorder="1" applyAlignment="1" applyProtection="1">
      <alignment horizontal="right" vertical="center"/>
    </xf>
    <xf numFmtId="168" fontId="121" fillId="4" borderId="57" xfId="0" applyNumberFormat="1" applyFont="1" applyFill="1" applyBorder="1" applyAlignment="1" applyProtection="1">
      <alignment horizontal="center" vertical="center"/>
      <protection locked="0"/>
    </xf>
    <xf numFmtId="168" fontId="121" fillId="4" borderId="108" xfId="0" applyNumberFormat="1" applyFont="1" applyFill="1" applyBorder="1" applyAlignment="1" applyProtection="1">
      <alignment horizontal="center" vertical="center"/>
      <protection locked="0"/>
    </xf>
    <xf numFmtId="168" fontId="121" fillId="4" borderId="110" xfId="0" applyNumberFormat="1" applyFont="1" applyFill="1" applyBorder="1" applyAlignment="1" applyProtection="1">
      <alignment horizontal="center" vertical="center"/>
      <protection locked="0"/>
    </xf>
    <xf numFmtId="168" fontId="121" fillId="4" borderId="111" xfId="0" applyNumberFormat="1" applyFont="1" applyFill="1" applyBorder="1" applyAlignment="1" applyProtection="1">
      <alignment horizontal="center" vertical="center"/>
      <protection locked="0"/>
    </xf>
    <xf numFmtId="172" fontId="0" fillId="0" borderId="0" xfId="0" applyNumberFormat="1" applyProtection="1">
      <protection hidden="1"/>
    </xf>
    <xf numFmtId="0" fontId="117" fillId="9" borderId="223" xfId="0" applyFont="1" applyFill="1" applyBorder="1" applyAlignment="1">
      <alignment horizontal="center" vertical="center" wrapText="1"/>
    </xf>
    <xf numFmtId="0" fontId="120" fillId="9" borderId="223" xfId="0" applyFont="1" applyFill="1" applyBorder="1" applyAlignment="1">
      <alignment horizontal="center" vertical="center" wrapText="1"/>
    </xf>
    <xf numFmtId="168" fontId="121" fillId="4" borderId="223" xfId="0" applyNumberFormat="1" applyFont="1" applyFill="1" applyBorder="1" applyAlignment="1" applyProtection="1">
      <alignment horizontal="center" vertical="center"/>
      <protection locked="0"/>
    </xf>
    <xf numFmtId="168" fontId="121" fillId="4" borderId="224" xfId="0" applyNumberFormat="1" applyFont="1" applyFill="1" applyBorder="1" applyAlignment="1" applyProtection="1">
      <alignment horizontal="center" vertical="center"/>
      <protection locked="0"/>
    </xf>
    <xf numFmtId="165" fontId="122" fillId="36" borderId="222" xfId="0" applyNumberFormat="1" applyFont="1" applyFill="1" applyBorder="1" applyAlignment="1">
      <alignment horizontal="center" vertical="center"/>
    </xf>
    <xf numFmtId="0" fontId="117" fillId="31" borderId="225" xfId="0" applyFont="1" applyFill="1" applyBorder="1" applyAlignment="1">
      <alignment horizontal="center" vertical="center" wrapText="1"/>
    </xf>
    <xf numFmtId="0" fontId="117" fillId="31" borderId="226" xfId="0" applyFont="1" applyFill="1" applyBorder="1" applyAlignment="1">
      <alignment horizontal="center" vertical="center" wrapText="1"/>
    </xf>
    <xf numFmtId="0" fontId="117" fillId="31" borderId="227" xfId="0" applyFont="1" applyFill="1" applyBorder="1" applyAlignment="1">
      <alignment horizontal="center" vertical="center" wrapText="1"/>
    </xf>
    <xf numFmtId="0" fontId="119" fillId="31" borderId="152" xfId="0" applyFont="1" applyFill="1" applyBorder="1" applyAlignment="1">
      <alignment horizontal="center" vertical="center" wrapText="1"/>
    </xf>
    <xf numFmtId="0" fontId="117" fillId="31" borderId="228" xfId="0" applyFont="1" applyFill="1" applyBorder="1" applyAlignment="1">
      <alignment horizontal="center" vertical="center" wrapText="1"/>
    </xf>
    <xf numFmtId="168" fontId="121" fillId="4" borderId="152" xfId="0" applyNumberFormat="1" applyFont="1" applyFill="1" applyBorder="1" applyAlignment="1" applyProtection="1">
      <alignment horizontal="center" vertical="center"/>
      <protection locked="0"/>
    </xf>
    <xf numFmtId="168" fontId="121" fillId="4" borderId="228" xfId="0" applyNumberFormat="1" applyFont="1" applyFill="1" applyBorder="1" applyAlignment="1" applyProtection="1">
      <alignment horizontal="center" vertical="center"/>
      <protection locked="0"/>
    </xf>
    <xf numFmtId="168" fontId="121" fillId="4" borderId="219" xfId="0" applyNumberFormat="1" applyFont="1" applyFill="1" applyBorder="1" applyAlignment="1" applyProtection="1">
      <alignment horizontal="center" vertical="center"/>
      <protection locked="0"/>
    </xf>
    <xf numFmtId="168" fontId="121" fillId="4" borderId="220" xfId="0" applyNumberFormat="1" applyFont="1" applyFill="1" applyBorder="1" applyAlignment="1" applyProtection="1">
      <alignment horizontal="center" vertical="center"/>
      <protection locked="0"/>
    </xf>
    <xf numFmtId="168" fontId="121" fillId="4" borderId="221" xfId="0" applyNumberFormat="1" applyFont="1" applyFill="1" applyBorder="1" applyAlignment="1" applyProtection="1">
      <alignment horizontal="center" vertical="center"/>
      <protection locked="0"/>
    </xf>
    <xf numFmtId="164" fontId="73" fillId="4" borderId="14" xfId="0" applyNumberFormat="1" applyFont="1" applyFill="1" applyBorder="1" applyAlignment="1">
      <alignment horizontal="center" vertical="center"/>
    </xf>
    <xf numFmtId="9" fontId="73" fillId="4" borderId="124" xfId="1" applyFont="1" applyFill="1" applyBorder="1" applyAlignment="1">
      <alignment horizontal="center" vertical="center"/>
    </xf>
    <xf numFmtId="168" fontId="73" fillId="4" borderId="14" xfId="0" applyNumberFormat="1" applyFont="1" applyFill="1" applyBorder="1" applyAlignment="1">
      <alignment vertical="center"/>
    </xf>
    <xf numFmtId="0" fontId="79" fillId="10" borderId="38" xfId="0" applyFont="1" applyFill="1" applyBorder="1" applyAlignment="1">
      <alignment horizontal="center" vertical="center" wrapText="1"/>
    </xf>
    <xf numFmtId="0" fontId="127" fillId="10" borderId="229" xfId="0" applyFont="1" applyFill="1" applyBorder="1" applyAlignment="1">
      <alignment horizontal="center" vertical="center" wrapText="1"/>
    </xf>
    <xf numFmtId="0" fontId="80" fillId="10" borderId="31" xfId="0" applyFont="1" applyFill="1" applyBorder="1" applyAlignment="1">
      <alignment horizontal="center" vertical="center" wrapText="1"/>
    </xf>
    <xf numFmtId="0" fontId="79" fillId="10" borderId="31" xfId="0" applyFont="1" applyFill="1" applyBorder="1" applyAlignment="1">
      <alignment horizontal="center" vertical="center" wrapText="1"/>
    </xf>
    <xf numFmtId="166" fontId="0" fillId="0" borderId="0" xfId="101" applyFont="1" applyProtection="1">
      <protection hidden="1"/>
    </xf>
    <xf numFmtId="164" fontId="0" fillId="0" borderId="0" xfId="0" applyNumberFormat="1" applyProtection="1">
      <protection hidden="1"/>
    </xf>
    <xf numFmtId="168" fontId="24" fillId="0" borderId="0" xfId="0" applyNumberFormat="1" applyFont="1" applyAlignment="1">
      <alignment horizontal="center" vertical="center" wrapText="1"/>
    </xf>
    <xf numFmtId="0" fontId="24" fillId="4" borderId="142" xfId="0" applyFont="1" applyFill="1" applyBorder="1" applyAlignment="1">
      <alignment horizontal="center" vertical="center" wrapText="1"/>
    </xf>
    <xf numFmtId="0" fontId="24" fillId="4" borderId="231" xfId="0" applyFont="1" applyFill="1" applyBorder="1" applyAlignment="1">
      <alignment horizontal="center" vertical="center" wrapText="1"/>
    </xf>
    <xf numFmtId="168" fontId="24" fillId="4" borderId="227" xfId="0" applyNumberFormat="1" applyFont="1" applyFill="1" applyBorder="1" applyAlignment="1">
      <alignment horizontal="center" vertical="center" wrapText="1"/>
    </xf>
    <xf numFmtId="0" fontId="24" fillId="4" borderId="228" xfId="0" applyFont="1" applyFill="1" applyBorder="1" applyAlignment="1" applyProtection="1">
      <alignment horizontal="center" vertical="center" wrapText="1"/>
      <protection hidden="1"/>
    </xf>
    <xf numFmtId="168" fontId="24" fillId="4" borderId="228" xfId="0" applyNumberFormat="1" applyFont="1" applyFill="1" applyBorder="1" applyAlignment="1">
      <alignment horizontal="center" vertical="center" wrapText="1"/>
    </xf>
    <xf numFmtId="0" fontId="24" fillId="4" borderId="228" xfId="0" applyFont="1" applyFill="1" applyBorder="1" applyAlignment="1">
      <alignment horizontal="center" vertical="center" wrapText="1"/>
    </xf>
    <xf numFmtId="0" fontId="112" fillId="4" borderId="221" xfId="0" applyFont="1" applyFill="1" applyBorder="1" applyAlignment="1" applyProtection="1">
      <alignment horizontal="center" vertical="center" wrapText="1"/>
      <protection hidden="1"/>
    </xf>
    <xf numFmtId="0" fontId="0" fillId="0" borderId="85" xfId="0" applyBorder="1" applyAlignment="1" applyProtection="1">
      <alignment horizontal="center" vertical="center" wrapText="1"/>
      <protection locked="0"/>
    </xf>
    <xf numFmtId="168" fontId="4" fillId="6" borderId="1" xfId="1" applyNumberFormat="1" applyFont="1" applyFill="1" applyBorder="1" applyAlignment="1" applyProtection="1">
      <alignment horizontal="center" vertical="center" wrapText="1"/>
      <protection locked="0"/>
    </xf>
    <xf numFmtId="0" fontId="51" fillId="9" borderId="33" xfId="0" applyFont="1" applyFill="1" applyBorder="1" applyAlignment="1">
      <alignment horizontal="center" vertical="center" wrapText="1"/>
    </xf>
    <xf numFmtId="0" fontId="51" fillId="9" borderId="232" xfId="0" applyFont="1" applyFill="1" applyBorder="1" applyAlignment="1">
      <alignment horizontal="center" vertical="center" wrapText="1"/>
    </xf>
    <xf numFmtId="0" fontId="4" fillId="6" borderId="18" xfId="0" applyFont="1" applyFill="1" applyBorder="1" applyAlignment="1" applyProtection="1">
      <alignment horizontal="center" vertical="center" wrapText="1"/>
      <protection locked="0"/>
    </xf>
    <xf numFmtId="14" fontId="4" fillId="6" borderId="18" xfId="0" applyNumberFormat="1" applyFont="1" applyFill="1" applyBorder="1" applyAlignment="1" applyProtection="1">
      <alignment horizontal="center" vertical="center" wrapText="1"/>
      <protection locked="0"/>
    </xf>
    <xf numFmtId="2" fontId="4" fillId="6" borderId="18" xfId="0" applyNumberFormat="1" applyFont="1" applyFill="1" applyBorder="1" applyAlignment="1" applyProtection="1">
      <alignment horizontal="center" vertical="center" wrapText="1"/>
      <protection locked="0"/>
    </xf>
    <xf numFmtId="2" fontId="4" fillId="6" borderId="233" xfId="0" applyNumberFormat="1" applyFont="1" applyFill="1" applyBorder="1" applyAlignment="1">
      <alignment horizontal="center" vertical="center" wrapText="1"/>
    </xf>
    <xf numFmtId="2" fontId="4" fillId="6" borderId="32" xfId="0" applyNumberFormat="1" applyFont="1" applyFill="1" applyBorder="1" applyAlignment="1">
      <alignment horizontal="center" vertical="center" wrapText="1"/>
    </xf>
    <xf numFmtId="168" fontId="4" fillId="4" borderId="9" xfId="0" applyNumberFormat="1" applyFont="1" applyFill="1" applyBorder="1" applyAlignment="1">
      <alignment horizontal="center" vertical="center" wrapText="1"/>
    </xf>
    <xf numFmtId="168" fontId="4" fillId="11" borderId="9" xfId="0" applyNumberFormat="1" applyFont="1" applyFill="1" applyBorder="1" applyAlignment="1">
      <alignment horizontal="center" vertical="center" wrapText="1"/>
    </xf>
    <xf numFmtId="0" fontId="10" fillId="12" borderId="10" xfId="0" applyFont="1" applyFill="1" applyBorder="1" applyAlignment="1">
      <alignment vertical="center" wrapText="1"/>
    </xf>
    <xf numFmtId="0" fontId="10" fillId="12" borderId="12" xfId="0" applyFont="1" applyFill="1" applyBorder="1" applyAlignment="1">
      <alignment vertical="center"/>
    </xf>
    <xf numFmtId="0" fontId="10" fillId="12" borderId="7" xfId="0" applyFont="1" applyFill="1" applyBorder="1" applyAlignment="1">
      <alignment vertical="center"/>
    </xf>
    <xf numFmtId="0" fontId="10" fillId="12" borderId="13" xfId="0" applyFont="1" applyFill="1" applyBorder="1" applyAlignment="1">
      <alignment vertical="center"/>
    </xf>
    <xf numFmtId="0" fontId="2" fillId="2" borderId="88" xfId="0" applyFont="1" applyFill="1" applyBorder="1" applyAlignment="1">
      <alignment vertical="center"/>
    </xf>
    <xf numFmtId="168" fontId="14" fillId="11" borderId="38" xfId="0" applyNumberFormat="1" applyFont="1" applyFill="1" applyBorder="1" applyAlignment="1">
      <alignment horizontal="center" vertical="center"/>
    </xf>
    <xf numFmtId="168" fontId="4" fillId="0" borderId="3" xfId="0" applyNumberFormat="1" applyFont="1" applyBorder="1" applyAlignment="1" applyProtection="1">
      <alignment horizontal="center" vertical="center"/>
      <protection locked="0"/>
    </xf>
    <xf numFmtId="0" fontId="51" fillId="10" borderId="234" xfId="0" applyFont="1" applyFill="1" applyBorder="1" applyAlignment="1">
      <alignment horizontal="center" vertical="center" wrapText="1"/>
    </xf>
    <xf numFmtId="0" fontId="51" fillId="10" borderId="235" xfId="0" applyFont="1" applyFill="1" applyBorder="1" applyAlignment="1">
      <alignment horizontal="center" vertical="center" wrapText="1"/>
    </xf>
    <xf numFmtId="0" fontId="51" fillId="10" borderId="236" xfId="0" applyFont="1" applyFill="1" applyBorder="1" applyAlignment="1">
      <alignment horizontal="center" vertical="center" wrapText="1"/>
    </xf>
    <xf numFmtId="0" fontId="14" fillId="10" borderId="237" xfId="0" applyFont="1" applyFill="1" applyBorder="1" applyAlignment="1">
      <alignment horizontal="center" vertical="center" wrapText="1"/>
    </xf>
    <xf numFmtId="0" fontId="14" fillId="11" borderId="238" xfId="0" applyFont="1" applyFill="1" applyBorder="1" applyAlignment="1">
      <alignment horizontal="center" vertical="center" wrapText="1"/>
    </xf>
    <xf numFmtId="0" fontId="4" fillId="0" borderId="237" xfId="0" applyFont="1" applyBorder="1" applyAlignment="1" applyProtection="1">
      <alignment horizontal="center" vertical="center" wrapText="1"/>
      <protection locked="0"/>
    </xf>
    <xf numFmtId="0" fontId="4" fillId="0" borderId="239" xfId="0" applyFont="1" applyBorder="1" applyAlignment="1" applyProtection="1">
      <alignment horizontal="center" vertical="center" wrapText="1"/>
      <protection locked="0"/>
    </xf>
    <xf numFmtId="0" fontId="4" fillId="0" borderId="240" xfId="0" applyFont="1" applyBorder="1" applyAlignment="1" applyProtection="1">
      <alignment horizontal="center" vertical="center" wrapText="1"/>
      <protection locked="0"/>
    </xf>
    <xf numFmtId="168" fontId="4" fillId="0" borderId="241" xfId="0" applyNumberFormat="1" applyFont="1" applyBorder="1" applyAlignment="1" applyProtection="1">
      <alignment horizontal="center" vertical="center"/>
      <protection locked="0"/>
    </xf>
    <xf numFmtId="168" fontId="4" fillId="0" borderId="240" xfId="0" applyNumberFormat="1" applyFont="1" applyBorder="1" applyAlignment="1" applyProtection="1">
      <alignment horizontal="center" vertical="center" wrapText="1"/>
      <protection locked="0"/>
    </xf>
    <xf numFmtId="168" fontId="14" fillId="11" borderId="38" xfId="0" applyNumberFormat="1" applyFont="1" applyFill="1" applyBorder="1" applyAlignment="1">
      <alignment horizontal="center" vertical="center" wrapText="1"/>
    </xf>
    <xf numFmtId="168" fontId="4" fillId="0" borderId="3" xfId="0" applyNumberFormat="1"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51" fillId="10" borderId="242" xfId="0" applyFont="1" applyFill="1" applyBorder="1" applyAlignment="1">
      <alignment horizontal="center" vertical="center" wrapText="1"/>
    </xf>
    <xf numFmtId="168" fontId="4" fillId="4" borderId="243" xfId="0" applyNumberFormat="1" applyFont="1" applyFill="1" applyBorder="1" applyAlignment="1">
      <alignment horizontal="center" vertical="center" wrapText="1"/>
    </xf>
    <xf numFmtId="0" fontId="51" fillId="10" borderId="244" xfId="0" applyFont="1" applyFill="1" applyBorder="1" applyAlignment="1">
      <alignment horizontal="center" vertical="center" wrapText="1"/>
    </xf>
    <xf numFmtId="0" fontId="51" fillId="10" borderId="245" xfId="0" applyFont="1" applyFill="1" applyBorder="1" applyAlignment="1">
      <alignment horizontal="center" vertical="center" wrapText="1"/>
    </xf>
    <xf numFmtId="0" fontId="4" fillId="0" borderId="246" xfId="0" applyFont="1" applyBorder="1" applyAlignment="1" applyProtection="1">
      <alignment horizontal="center" vertical="center" wrapText="1"/>
      <protection locked="0"/>
    </xf>
    <xf numFmtId="168" fontId="4" fillId="0" borderId="247" xfId="0" applyNumberFormat="1" applyFont="1" applyBorder="1" applyAlignment="1" applyProtection="1">
      <alignment horizontal="center" vertical="center" wrapText="1"/>
      <protection locked="0"/>
    </xf>
    <xf numFmtId="0" fontId="51" fillId="10" borderId="248" xfId="0" applyFont="1" applyFill="1" applyBorder="1" applyAlignment="1">
      <alignment horizontal="center" vertical="center" wrapText="1"/>
    </xf>
    <xf numFmtId="168" fontId="4" fillId="4" borderId="249" xfId="0" applyNumberFormat="1" applyFont="1" applyFill="1" applyBorder="1" applyAlignment="1">
      <alignment horizontal="center" vertical="center" wrapText="1"/>
    </xf>
    <xf numFmtId="0" fontId="14" fillId="11" borderId="62" xfId="0" applyFont="1" applyFill="1" applyBorder="1" applyAlignment="1">
      <alignment horizontal="center" vertical="center" wrapText="1"/>
    </xf>
    <xf numFmtId="0" fontId="4" fillId="0" borderId="65" xfId="0" applyFont="1" applyBorder="1" applyAlignment="1" applyProtection="1">
      <alignment horizontal="center" vertical="center" wrapText="1"/>
      <protection locked="0"/>
    </xf>
    <xf numFmtId="0" fontId="4" fillId="0" borderId="67" xfId="0" applyFont="1" applyBorder="1" applyAlignment="1" applyProtection="1">
      <alignment horizontal="center" vertical="center" wrapText="1"/>
      <protection locked="0"/>
    </xf>
    <xf numFmtId="0" fontId="14" fillId="10" borderId="250" xfId="0" applyFont="1" applyFill="1" applyBorder="1" applyAlignment="1">
      <alignment horizontal="center" vertical="center" wrapText="1"/>
    </xf>
    <xf numFmtId="0" fontId="14" fillId="11" borderId="251" xfId="0" applyFont="1" applyFill="1" applyBorder="1" applyAlignment="1">
      <alignment horizontal="center" vertical="center" wrapText="1"/>
    </xf>
    <xf numFmtId="0" fontId="4" fillId="0" borderId="250" xfId="0" applyFont="1" applyBorder="1" applyAlignment="1" applyProtection="1">
      <alignment horizontal="center" vertical="center" wrapText="1"/>
      <protection locked="0"/>
    </xf>
    <xf numFmtId="0" fontId="14" fillId="10" borderId="252" xfId="0" applyFont="1" applyFill="1" applyBorder="1" applyAlignment="1">
      <alignment horizontal="center" vertical="center" wrapText="1"/>
    </xf>
    <xf numFmtId="0" fontId="14" fillId="11" borderId="253" xfId="0" applyFont="1" applyFill="1" applyBorder="1" applyAlignment="1">
      <alignment horizontal="center" vertical="center" wrapText="1"/>
    </xf>
    <xf numFmtId="0" fontId="4" fillId="0" borderId="254" xfId="0" applyFont="1" applyBorder="1" applyAlignment="1" applyProtection="1">
      <alignment horizontal="center" vertical="center" wrapText="1"/>
      <protection locked="0"/>
    </xf>
    <xf numFmtId="0" fontId="4" fillId="0" borderId="253" xfId="0" applyFont="1" applyBorder="1" applyAlignment="1" applyProtection="1">
      <alignment horizontal="center" vertical="center" wrapText="1"/>
      <protection locked="0"/>
    </xf>
    <xf numFmtId="168" fontId="4" fillId="0" borderId="38" xfId="0" applyNumberFormat="1" applyFont="1" applyBorder="1" applyAlignment="1" applyProtection="1">
      <alignment horizontal="center" vertical="center" wrapText="1"/>
      <protection locked="0"/>
    </xf>
    <xf numFmtId="0" fontId="4" fillId="0" borderId="252" xfId="0" applyFont="1" applyBorder="1" applyAlignment="1" applyProtection="1">
      <alignment horizontal="center" vertical="center" wrapText="1"/>
      <protection locked="0"/>
    </xf>
    <xf numFmtId="168" fontId="14" fillId="11" borderId="253" xfId="0" applyNumberFormat="1" applyFont="1" applyFill="1" applyBorder="1" applyAlignment="1">
      <alignment horizontal="center" vertical="center" wrapText="1"/>
    </xf>
    <xf numFmtId="168" fontId="4" fillId="0" borderId="254" xfId="0" applyNumberFormat="1" applyFont="1" applyBorder="1" applyAlignment="1" applyProtection="1">
      <alignment horizontal="center" vertical="center" wrapText="1"/>
      <protection locked="0"/>
    </xf>
    <xf numFmtId="168" fontId="4" fillId="0" borderId="255" xfId="0" applyNumberFormat="1" applyFont="1" applyBorder="1" applyAlignment="1" applyProtection="1">
      <alignment horizontal="center" vertical="center" wrapText="1"/>
      <protection locked="0"/>
    </xf>
    <xf numFmtId="168" fontId="4" fillId="0" borderId="256" xfId="0" applyNumberFormat="1" applyFont="1" applyBorder="1" applyAlignment="1" applyProtection="1">
      <alignment horizontal="center" vertical="center" wrapText="1"/>
      <protection locked="0"/>
    </xf>
    <xf numFmtId="168" fontId="4" fillId="0" borderId="257" xfId="0" applyNumberFormat="1" applyFont="1" applyBorder="1" applyAlignment="1" applyProtection="1">
      <alignment horizontal="center" vertical="center" wrapText="1"/>
      <protection locked="0"/>
    </xf>
    <xf numFmtId="168" fontId="4" fillId="0" borderId="258" xfId="0" applyNumberFormat="1" applyFont="1" applyBorder="1" applyAlignment="1" applyProtection="1">
      <alignment horizontal="center" vertical="center" wrapText="1"/>
      <protection locked="0"/>
    </xf>
    <xf numFmtId="168" fontId="4" fillId="0" borderId="223" xfId="0" applyNumberFormat="1" applyFont="1" applyBorder="1" applyAlignment="1" applyProtection="1">
      <alignment horizontal="center" vertical="center" wrapText="1"/>
      <protection locked="0"/>
    </xf>
    <xf numFmtId="0" fontId="4" fillId="0" borderId="57" xfId="0" applyFont="1" applyBorder="1" applyAlignment="1" applyProtection="1">
      <alignment horizontal="center" vertical="center" wrapText="1"/>
      <protection locked="0"/>
    </xf>
    <xf numFmtId="0" fontId="51" fillId="10" borderId="261" xfId="0" applyFont="1" applyFill="1" applyBorder="1" applyAlignment="1">
      <alignment horizontal="center" vertical="center" wrapText="1"/>
    </xf>
    <xf numFmtId="0" fontId="51" fillId="10" borderId="260" xfId="0" applyFont="1" applyFill="1" applyBorder="1" applyAlignment="1">
      <alignment horizontal="center" vertical="center" wrapText="1"/>
    </xf>
    <xf numFmtId="0" fontId="51" fillId="10" borderId="264" xfId="0" applyFont="1" applyFill="1" applyBorder="1" applyAlignment="1">
      <alignment horizontal="center" vertical="center" wrapText="1"/>
    </xf>
    <xf numFmtId="0" fontId="51" fillId="10" borderId="263" xfId="0" applyFont="1" applyFill="1" applyBorder="1" applyAlignment="1">
      <alignment horizontal="center" vertical="center" wrapText="1"/>
    </xf>
    <xf numFmtId="168" fontId="4" fillId="0" borderId="266" xfId="0" applyNumberFormat="1" applyFont="1" applyBorder="1" applyAlignment="1" applyProtection="1">
      <alignment horizontal="center" vertical="center" wrapText="1"/>
      <protection locked="0"/>
    </xf>
    <xf numFmtId="0" fontId="4" fillId="0" borderId="265" xfId="0" applyFont="1" applyBorder="1" applyAlignment="1" applyProtection="1">
      <alignment horizontal="center" vertical="center" wrapText="1"/>
      <protection locked="0"/>
    </xf>
    <xf numFmtId="168" fontId="4" fillId="0" borderId="268" xfId="0" applyNumberFormat="1" applyFont="1" applyBorder="1" applyAlignment="1" applyProtection="1">
      <alignment horizontal="center" vertical="center" wrapText="1"/>
      <protection locked="0"/>
    </xf>
    <xf numFmtId="0" fontId="4" fillId="0" borderId="267" xfId="0" applyFont="1" applyBorder="1" applyAlignment="1" applyProtection="1">
      <alignment horizontal="center" vertical="center" wrapText="1"/>
      <protection locked="0"/>
    </xf>
    <xf numFmtId="0" fontId="51" fillId="9" borderId="269" xfId="0" applyFont="1" applyFill="1" applyBorder="1" applyAlignment="1">
      <alignment horizontal="center" vertical="center" wrapText="1"/>
    </xf>
    <xf numFmtId="0" fontId="51" fillId="9" borderId="242" xfId="0" applyFont="1" applyFill="1" applyBorder="1" applyAlignment="1">
      <alignment horizontal="center" vertical="center" wrapText="1"/>
    </xf>
    <xf numFmtId="0" fontId="51" fillId="9" borderId="259" xfId="0" applyFont="1" applyFill="1" applyBorder="1" applyAlignment="1">
      <alignment horizontal="center" vertical="center" wrapText="1"/>
    </xf>
    <xf numFmtId="0" fontId="51" fillId="9" borderId="264" xfId="0" applyFont="1" applyFill="1" applyBorder="1" applyAlignment="1">
      <alignment horizontal="center" vertical="center" wrapText="1"/>
    </xf>
    <xf numFmtId="0" fontId="51" fillId="9" borderId="271" xfId="0" applyFont="1" applyFill="1" applyBorder="1" applyAlignment="1">
      <alignment horizontal="center" vertical="center" wrapText="1"/>
    </xf>
    <xf numFmtId="168" fontId="4" fillId="11" borderId="272" xfId="0" applyNumberFormat="1" applyFont="1" applyFill="1" applyBorder="1" applyAlignment="1">
      <alignment horizontal="center" vertical="center" wrapText="1"/>
    </xf>
    <xf numFmtId="168" fontId="4" fillId="4" borderId="272" xfId="0" applyNumberFormat="1" applyFont="1" applyFill="1" applyBorder="1" applyAlignment="1">
      <alignment horizontal="center" vertical="center" wrapText="1"/>
    </xf>
    <xf numFmtId="0" fontId="14" fillId="9" borderId="270" xfId="0" applyFont="1" applyFill="1" applyBorder="1" applyAlignment="1">
      <alignment horizontal="center" vertical="center" wrapText="1"/>
    </xf>
    <xf numFmtId="0" fontId="51" fillId="9" borderId="273" xfId="0" applyFont="1" applyFill="1" applyBorder="1" applyAlignment="1">
      <alignment horizontal="center" vertical="center" wrapText="1"/>
    </xf>
    <xf numFmtId="168" fontId="4" fillId="11" borderId="277" xfId="0" applyNumberFormat="1" applyFont="1" applyFill="1" applyBorder="1" applyAlignment="1">
      <alignment horizontal="center" vertical="center" wrapText="1"/>
    </xf>
    <xf numFmtId="0" fontId="14" fillId="9" borderId="252" xfId="0" applyFont="1" applyFill="1" applyBorder="1" applyAlignment="1">
      <alignment horizontal="center" vertical="center" wrapText="1"/>
    </xf>
    <xf numFmtId="0" fontId="4" fillId="11" borderId="254" xfId="0" applyFont="1" applyFill="1" applyBorder="1" applyAlignment="1">
      <alignment horizontal="center" vertical="center" wrapText="1"/>
    </xf>
    <xf numFmtId="0" fontId="14" fillId="9" borderId="250" xfId="0" applyFont="1" applyFill="1" applyBorder="1" applyAlignment="1">
      <alignment horizontal="center" vertical="center" wrapText="1"/>
    </xf>
    <xf numFmtId="0" fontId="51" fillId="9" borderId="261" xfId="0" applyFont="1" applyFill="1" applyBorder="1" applyAlignment="1">
      <alignment horizontal="center" vertical="center" wrapText="1"/>
    </xf>
    <xf numFmtId="0" fontId="51" fillId="9" borderId="279" xfId="0" applyFont="1" applyFill="1" applyBorder="1" applyAlignment="1">
      <alignment horizontal="center" vertical="center" wrapText="1"/>
    </xf>
    <xf numFmtId="0" fontId="14" fillId="9" borderId="280" xfId="0" applyFont="1" applyFill="1" applyBorder="1" applyAlignment="1">
      <alignment horizontal="center" vertical="center" wrapText="1"/>
    </xf>
    <xf numFmtId="0" fontId="14" fillId="9" borderId="57" xfId="0" applyFont="1" applyFill="1" applyBorder="1" applyAlignment="1">
      <alignment horizontal="center" vertical="center" wrapText="1"/>
    </xf>
    <xf numFmtId="168" fontId="4" fillId="11" borderId="28" xfId="0" applyNumberFormat="1" applyFont="1" applyFill="1" applyBorder="1" applyAlignment="1">
      <alignment horizontal="center" vertical="center" wrapText="1"/>
    </xf>
    <xf numFmtId="168" fontId="4" fillId="11" borderId="252" xfId="0" applyNumberFormat="1" applyFont="1" applyFill="1" applyBorder="1" applyAlignment="1">
      <alignment horizontal="center" vertical="center" wrapText="1"/>
    </xf>
    <xf numFmtId="168" fontId="4" fillId="11" borderId="276" xfId="0" applyNumberFormat="1" applyFont="1" applyFill="1" applyBorder="1" applyAlignment="1">
      <alignment horizontal="center" vertical="center" wrapText="1"/>
    </xf>
    <xf numFmtId="0" fontId="51" fillId="9" borderId="281" xfId="0" applyFont="1" applyFill="1" applyBorder="1" applyAlignment="1">
      <alignment horizontal="center" vertical="center" wrapText="1"/>
    </xf>
    <xf numFmtId="0" fontId="14" fillId="9" borderId="257" xfId="0" applyFont="1" applyFill="1" applyBorder="1" applyAlignment="1">
      <alignment horizontal="center" vertical="center" wrapText="1"/>
    </xf>
    <xf numFmtId="168" fontId="4" fillId="11" borderId="257" xfId="0" applyNumberFormat="1" applyFont="1" applyFill="1" applyBorder="1" applyAlignment="1">
      <alignment horizontal="center" vertical="center" wrapText="1"/>
    </xf>
    <xf numFmtId="0" fontId="51" fillId="9" borderId="57" xfId="0" applyFont="1" applyFill="1" applyBorder="1" applyAlignment="1">
      <alignment horizontal="center" vertical="center" wrapText="1"/>
    </xf>
    <xf numFmtId="168" fontId="4" fillId="11" borderId="57" xfId="0" applyNumberFormat="1" applyFont="1" applyFill="1" applyBorder="1" applyAlignment="1">
      <alignment horizontal="center" vertical="center" wrapText="1"/>
    </xf>
    <xf numFmtId="0" fontId="4" fillId="4" borderId="57" xfId="0" applyFont="1" applyFill="1" applyBorder="1" applyAlignment="1">
      <alignment horizontal="center" vertical="center" wrapText="1"/>
    </xf>
    <xf numFmtId="168" fontId="0" fillId="0" borderId="0" xfId="0" applyNumberFormat="1"/>
    <xf numFmtId="168" fontId="51" fillId="9" borderId="274" xfId="0" applyNumberFormat="1" applyFont="1" applyFill="1" applyBorder="1" applyAlignment="1">
      <alignment horizontal="center" vertical="center" wrapText="1"/>
    </xf>
    <xf numFmtId="168" fontId="51" fillId="9" borderId="275" xfId="0" applyNumberFormat="1" applyFont="1" applyFill="1" applyBorder="1" applyAlignment="1">
      <alignment horizontal="center" vertical="center" wrapText="1"/>
    </xf>
    <xf numFmtId="168" fontId="14" fillId="9" borderId="278" xfId="0" applyNumberFormat="1" applyFont="1" applyFill="1" applyBorder="1" applyAlignment="1">
      <alignment horizontal="center" vertical="center" wrapText="1"/>
    </xf>
    <xf numFmtId="0" fontId="4" fillId="11" borderId="282" xfId="0" applyFont="1" applyFill="1" applyBorder="1" applyAlignment="1">
      <alignment horizontal="center" vertical="center" wrapText="1"/>
    </xf>
    <xf numFmtId="168" fontId="4" fillId="11" borderId="251" xfId="0" applyNumberFormat="1" applyFont="1" applyFill="1" applyBorder="1" applyAlignment="1">
      <alignment horizontal="center" vertical="center" wrapText="1"/>
    </xf>
    <xf numFmtId="0" fontId="4" fillId="4" borderId="284" xfId="0" applyFont="1" applyFill="1" applyBorder="1" applyAlignment="1">
      <alignment horizontal="center" vertical="center" wrapText="1"/>
    </xf>
    <xf numFmtId="0" fontId="4" fillId="4" borderId="283" xfId="0" applyFont="1" applyFill="1" applyBorder="1" applyAlignment="1">
      <alignment horizontal="center" vertical="center" wrapText="1"/>
    </xf>
    <xf numFmtId="168" fontId="4" fillId="4" borderId="285" xfId="0" applyNumberFormat="1" applyFont="1" applyFill="1" applyBorder="1" applyAlignment="1">
      <alignment horizontal="center" vertical="center" wrapText="1"/>
    </xf>
    <xf numFmtId="0" fontId="14" fillId="10" borderId="25" xfId="0" applyFont="1" applyFill="1" applyBorder="1" applyAlignment="1">
      <alignment horizontal="center" vertical="center" wrapText="1"/>
    </xf>
    <xf numFmtId="1" fontId="0" fillId="6" borderId="57" xfId="0" applyNumberFormat="1" applyFill="1" applyBorder="1" applyAlignment="1" applyProtection="1">
      <alignment horizontal="center" vertical="center" wrapText="1"/>
      <protection locked="0"/>
    </xf>
    <xf numFmtId="168" fontId="14" fillId="11" borderId="57" xfId="0" applyNumberFormat="1" applyFont="1" applyFill="1" applyBorder="1" applyAlignment="1">
      <alignment horizontal="center" vertical="center" wrapText="1"/>
    </xf>
    <xf numFmtId="0" fontId="4" fillId="6" borderId="5" xfId="1" applyNumberFormat="1" applyFont="1" applyFill="1" applyBorder="1" applyAlignment="1" applyProtection="1">
      <alignment horizontal="right" vertical="center" wrapText="1"/>
      <protection locked="0"/>
    </xf>
    <xf numFmtId="168" fontId="4" fillId="0" borderId="57" xfId="0" applyNumberFormat="1" applyFont="1" applyBorder="1" applyAlignment="1" applyProtection="1">
      <alignment horizontal="center" vertical="center"/>
      <protection locked="0"/>
    </xf>
    <xf numFmtId="168" fontId="4" fillId="0" borderId="57" xfId="0" applyNumberFormat="1" applyFont="1" applyBorder="1" applyAlignment="1" applyProtection="1">
      <alignment horizontal="center" vertical="center" wrapText="1"/>
      <protection locked="0"/>
    </xf>
    <xf numFmtId="168" fontId="0" fillId="0" borderId="0" xfId="101" applyNumberFormat="1" applyFont="1"/>
    <xf numFmtId="0" fontId="4" fillId="6" borderId="25" xfId="102" applyFont="1" applyFill="1" applyBorder="1" applyAlignment="1" applyProtection="1">
      <alignment horizontal="center" vertical="center" wrapText="1"/>
      <protection locked="0"/>
    </xf>
    <xf numFmtId="0" fontId="4" fillId="11" borderId="286" xfId="0" applyFont="1" applyFill="1" applyBorder="1" applyAlignment="1">
      <alignment horizontal="center" vertical="center" wrapText="1"/>
    </xf>
    <xf numFmtId="9" fontId="4" fillId="11" borderId="11" xfId="0" applyNumberFormat="1" applyFont="1" applyFill="1" applyBorder="1" applyAlignment="1">
      <alignment horizontal="center" vertical="center" wrapText="1"/>
    </xf>
    <xf numFmtId="0" fontId="4" fillId="11" borderId="11" xfId="0" applyFont="1" applyFill="1" applyBorder="1" applyAlignment="1">
      <alignment horizontal="center" vertical="center" wrapText="1"/>
    </xf>
    <xf numFmtId="168" fontId="4" fillId="11" borderId="11" xfId="0" applyNumberFormat="1" applyFont="1" applyFill="1" applyBorder="1" applyAlignment="1">
      <alignment horizontal="center" vertical="center"/>
    </xf>
    <xf numFmtId="168" fontId="9" fillId="11" borderId="11" xfId="0" applyNumberFormat="1" applyFont="1" applyFill="1" applyBorder="1" applyAlignment="1">
      <alignment horizontal="center" vertical="center" wrapText="1"/>
    </xf>
    <xf numFmtId="0" fontId="51" fillId="11" borderId="11" xfId="0" applyFont="1" applyFill="1" applyBorder="1" applyAlignment="1">
      <alignment horizontal="center" vertical="center" wrapText="1"/>
    </xf>
    <xf numFmtId="168" fontId="4" fillId="4" borderId="57" xfId="101" applyNumberFormat="1" applyFont="1" applyFill="1" applyBorder="1" applyAlignment="1">
      <alignment horizontal="center" vertical="center" wrapText="1"/>
    </xf>
    <xf numFmtId="0" fontId="4" fillId="0" borderId="57" xfId="0" applyFont="1" applyBorder="1" applyProtection="1">
      <protection locked="0"/>
    </xf>
    <xf numFmtId="168" fontId="4" fillId="4" borderId="57" xfId="0" applyNumberFormat="1" applyFont="1" applyFill="1" applyBorder="1" applyAlignment="1">
      <alignment horizontal="center" vertical="center"/>
    </xf>
    <xf numFmtId="0" fontId="51" fillId="4" borderId="57" xfId="0" applyFont="1" applyFill="1" applyBorder="1" applyAlignment="1">
      <alignment horizontal="center" vertical="center" wrapText="1"/>
    </xf>
    <xf numFmtId="0" fontId="4" fillId="11" borderId="58" xfId="0" applyFont="1" applyFill="1" applyBorder="1" applyAlignment="1">
      <alignment horizontal="center" vertical="center" wrapText="1"/>
    </xf>
    <xf numFmtId="0" fontId="4" fillId="4" borderId="142" xfId="0" applyFont="1" applyFill="1" applyBorder="1" applyAlignment="1">
      <alignment horizontal="center" vertical="center" wrapText="1"/>
    </xf>
    <xf numFmtId="168" fontId="14" fillId="9" borderId="57" xfId="101" applyNumberFormat="1" applyFont="1" applyFill="1" applyBorder="1" applyAlignment="1">
      <alignment horizontal="center" vertical="center" wrapText="1"/>
    </xf>
    <xf numFmtId="0" fontId="14" fillId="11" borderId="57" xfId="0" applyFont="1" applyFill="1" applyBorder="1" applyAlignment="1">
      <alignment horizontal="center" vertical="center" wrapText="1"/>
    </xf>
    <xf numFmtId="168" fontId="4" fillId="11" borderId="57" xfId="101" applyNumberFormat="1" applyFont="1" applyFill="1" applyBorder="1" applyAlignment="1">
      <alignment horizontal="center" vertical="center" wrapText="1"/>
    </xf>
    <xf numFmtId="0" fontId="4" fillId="11" borderId="57" xfId="0" applyFont="1" applyFill="1" applyBorder="1"/>
    <xf numFmtId="0" fontId="51" fillId="10" borderId="9" xfId="0" applyFont="1" applyFill="1" applyBorder="1" applyAlignment="1">
      <alignment horizontal="center" vertical="center" wrapText="1"/>
    </xf>
    <xf numFmtId="168" fontId="14" fillId="11" borderId="57" xfId="0" applyNumberFormat="1" applyFont="1" applyFill="1" applyBorder="1" applyAlignment="1">
      <alignment horizontal="center" vertical="center"/>
    </xf>
    <xf numFmtId="0" fontId="51" fillId="10" borderId="142" xfId="0" applyFont="1" applyFill="1" applyBorder="1" applyAlignment="1">
      <alignment horizontal="center" vertical="center" wrapText="1"/>
    </xf>
    <xf numFmtId="0" fontId="14" fillId="10" borderId="142" xfId="0" applyFont="1" applyFill="1" applyBorder="1" applyAlignment="1">
      <alignment horizontal="center" vertical="center" wrapText="1"/>
    </xf>
    <xf numFmtId="1" fontId="14" fillId="11" borderId="142" xfId="0" applyNumberFormat="1" applyFont="1" applyFill="1" applyBorder="1" applyAlignment="1">
      <alignment horizontal="center" vertical="center" wrapText="1"/>
    </xf>
    <xf numFmtId="1" fontId="0" fillId="6" borderId="142" xfId="0" applyNumberFormat="1" applyFill="1" applyBorder="1" applyAlignment="1" applyProtection="1">
      <alignment horizontal="center" vertical="center" wrapText="1"/>
      <protection locked="0"/>
    </xf>
    <xf numFmtId="0" fontId="51" fillId="10" borderId="287" xfId="0" applyFont="1" applyFill="1" applyBorder="1" applyAlignment="1">
      <alignment horizontal="center" vertical="center" wrapText="1"/>
    </xf>
    <xf numFmtId="0" fontId="51" fillId="10" borderId="288" xfId="0" applyFont="1" applyFill="1" applyBorder="1" applyAlignment="1">
      <alignment horizontal="center" vertical="center" wrapText="1"/>
    </xf>
    <xf numFmtId="0" fontId="14" fillId="10" borderId="289" xfId="0" applyFont="1" applyFill="1" applyBorder="1" applyAlignment="1">
      <alignment horizontal="center" vertical="center" wrapText="1"/>
    </xf>
    <xf numFmtId="0" fontId="14" fillId="11" borderId="289" xfId="0" applyFont="1" applyFill="1" applyBorder="1" applyAlignment="1">
      <alignment horizontal="center" vertical="center" wrapText="1"/>
    </xf>
    <xf numFmtId="0" fontId="4" fillId="0" borderId="289" xfId="0" applyFont="1" applyBorder="1" applyAlignment="1" applyProtection="1">
      <alignment horizontal="center" vertical="center" wrapText="1"/>
      <protection locked="0"/>
    </xf>
    <xf numFmtId="1" fontId="0" fillId="6" borderId="289" xfId="0" applyNumberFormat="1" applyFill="1" applyBorder="1" applyAlignment="1" applyProtection="1">
      <alignment horizontal="center" vertical="center" wrapText="1"/>
      <protection locked="0"/>
    </xf>
    <xf numFmtId="0" fontId="51" fillId="9" borderId="142" xfId="0" applyFont="1" applyFill="1" applyBorder="1" applyAlignment="1">
      <alignment horizontal="center" vertical="center" wrapText="1"/>
    </xf>
    <xf numFmtId="0" fontId="14" fillId="9" borderId="142" xfId="0" applyFont="1" applyFill="1" applyBorder="1" applyAlignment="1">
      <alignment horizontal="center" vertical="center" wrapText="1"/>
    </xf>
    <xf numFmtId="1" fontId="4" fillId="11" borderId="142" xfId="0" applyNumberFormat="1" applyFont="1" applyFill="1" applyBorder="1" applyAlignment="1">
      <alignment horizontal="center" vertical="center" wrapText="1"/>
    </xf>
    <xf numFmtId="0" fontId="51" fillId="9" borderId="223" xfId="0" applyFont="1" applyFill="1" applyBorder="1" applyAlignment="1">
      <alignment horizontal="center" vertical="center" wrapText="1"/>
    </xf>
    <xf numFmtId="0" fontId="14" fillId="9" borderId="223" xfId="0" applyFont="1" applyFill="1" applyBorder="1" applyAlignment="1">
      <alignment horizontal="center" vertical="center" wrapText="1"/>
    </xf>
    <xf numFmtId="0" fontId="51" fillId="9" borderId="287" xfId="0" applyFont="1" applyFill="1" applyBorder="1" applyAlignment="1">
      <alignment horizontal="center" vertical="center" wrapText="1"/>
    </xf>
    <xf numFmtId="0" fontId="51" fillId="9" borderId="288" xfId="0" applyFont="1" applyFill="1" applyBorder="1" applyAlignment="1">
      <alignment horizontal="center" vertical="center" wrapText="1"/>
    </xf>
    <xf numFmtId="168" fontId="51" fillId="9" borderId="288" xfId="101" applyNumberFormat="1" applyFont="1" applyFill="1" applyBorder="1" applyAlignment="1">
      <alignment horizontal="center" vertical="center" wrapText="1"/>
    </xf>
    <xf numFmtId="0" fontId="14" fillId="9" borderId="289" xfId="0" applyFont="1" applyFill="1" applyBorder="1" applyAlignment="1">
      <alignment horizontal="center" vertical="center" wrapText="1"/>
    </xf>
    <xf numFmtId="0" fontId="4" fillId="4" borderId="289" xfId="0" applyFont="1" applyFill="1" applyBorder="1" applyAlignment="1">
      <alignment horizontal="center" vertical="center" wrapText="1"/>
    </xf>
    <xf numFmtId="0" fontId="4" fillId="4" borderId="290" xfId="0" applyFont="1" applyFill="1" applyBorder="1" applyAlignment="1">
      <alignment horizontal="center" vertical="center" wrapText="1"/>
    </xf>
    <xf numFmtId="0" fontId="4" fillId="4" borderId="291" xfId="0" applyFont="1" applyFill="1" applyBorder="1" applyAlignment="1">
      <alignment horizontal="center" vertical="center" wrapText="1"/>
    </xf>
    <xf numFmtId="168" fontId="4" fillId="4" borderId="291" xfId="101" applyNumberFormat="1" applyFont="1" applyFill="1" applyBorder="1" applyAlignment="1">
      <alignment horizontal="center" vertical="center" wrapText="1"/>
    </xf>
    <xf numFmtId="0" fontId="51" fillId="10" borderId="292" xfId="0" applyFont="1" applyFill="1" applyBorder="1" applyAlignment="1">
      <alignment horizontal="center" vertical="center" wrapText="1"/>
    </xf>
    <xf numFmtId="168" fontId="14" fillId="11" borderId="142" xfId="0" applyNumberFormat="1" applyFont="1" applyFill="1" applyBorder="1" applyAlignment="1">
      <alignment horizontal="center" vertical="center" wrapText="1"/>
    </xf>
    <xf numFmtId="168" fontId="4" fillId="4" borderId="142" xfId="0" applyNumberFormat="1" applyFont="1" applyFill="1" applyBorder="1" applyAlignment="1">
      <alignment horizontal="center" vertical="center" wrapText="1"/>
    </xf>
    <xf numFmtId="0" fontId="51" fillId="10" borderId="293" xfId="0" applyFont="1" applyFill="1" applyBorder="1" applyAlignment="1">
      <alignment horizontal="center" vertical="center" wrapText="1"/>
    </xf>
    <xf numFmtId="0" fontId="51" fillId="10" borderId="294" xfId="0" applyFont="1" applyFill="1" applyBorder="1" applyAlignment="1">
      <alignment horizontal="center" vertical="center" wrapText="1"/>
    </xf>
    <xf numFmtId="0" fontId="14" fillId="10" borderId="295" xfId="0" applyFont="1" applyFill="1" applyBorder="1" applyAlignment="1">
      <alignment horizontal="center" vertical="center" wrapText="1"/>
    </xf>
    <xf numFmtId="168" fontId="14" fillId="11" borderId="295" xfId="0" applyNumberFormat="1" applyFont="1" applyFill="1" applyBorder="1" applyAlignment="1">
      <alignment horizontal="center" vertical="center" wrapText="1"/>
    </xf>
    <xf numFmtId="0" fontId="51" fillId="9" borderId="292" xfId="0" applyFont="1" applyFill="1" applyBorder="1" applyAlignment="1">
      <alignment horizontal="center" vertical="center" wrapText="1"/>
    </xf>
    <xf numFmtId="168" fontId="4" fillId="11" borderId="142" xfId="0" applyNumberFormat="1" applyFont="1" applyFill="1" applyBorder="1" applyAlignment="1">
      <alignment horizontal="center" vertical="center" wrapText="1"/>
    </xf>
    <xf numFmtId="168" fontId="4" fillId="4" borderId="296" xfId="0" applyNumberFormat="1" applyFont="1" applyFill="1" applyBorder="1" applyAlignment="1">
      <alignment horizontal="center" vertical="center" wrapText="1"/>
    </xf>
    <xf numFmtId="0" fontId="51" fillId="9" borderId="293" xfId="0" applyFont="1" applyFill="1" applyBorder="1" applyAlignment="1">
      <alignment horizontal="center" vertical="center" wrapText="1"/>
    </xf>
    <xf numFmtId="0" fontId="51" fillId="9" borderId="294" xfId="0" applyFont="1" applyFill="1" applyBorder="1" applyAlignment="1">
      <alignment horizontal="center" vertical="center" wrapText="1"/>
    </xf>
    <xf numFmtId="0" fontId="14" fillId="9" borderId="295" xfId="0" applyFont="1" applyFill="1" applyBorder="1" applyAlignment="1">
      <alignment horizontal="center" vertical="center" wrapText="1"/>
    </xf>
    <xf numFmtId="168" fontId="4" fillId="4" borderId="295" xfId="101" applyNumberFormat="1" applyFont="1" applyFill="1" applyBorder="1" applyAlignment="1">
      <alignment horizontal="center" vertical="center" wrapText="1"/>
    </xf>
    <xf numFmtId="168" fontId="4" fillId="4" borderId="297" xfId="101" applyNumberFormat="1" applyFont="1" applyFill="1" applyBorder="1" applyAlignment="1">
      <alignment horizontal="center" vertical="center" wrapText="1"/>
    </xf>
    <xf numFmtId="168" fontId="4" fillId="4" borderId="298" xfId="101" applyNumberFormat="1" applyFont="1" applyFill="1" applyBorder="1" applyAlignment="1">
      <alignment horizontal="center" vertical="center" wrapText="1"/>
    </xf>
    <xf numFmtId="0" fontId="51" fillId="10" borderId="299" xfId="0" applyFont="1" applyFill="1" applyBorder="1" applyAlignment="1">
      <alignment horizontal="center" vertical="center" wrapText="1"/>
    </xf>
    <xf numFmtId="0" fontId="51" fillId="10" borderId="300" xfId="0" applyFont="1" applyFill="1" applyBorder="1" applyAlignment="1">
      <alignment horizontal="center" vertical="center" wrapText="1"/>
    </xf>
    <xf numFmtId="0" fontId="51" fillId="10" borderId="301" xfId="0" applyFont="1" applyFill="1" applyBorder="1" applyAlignment="1">
      <alignment horizontal="center" vertical="center" wrapText="1"/>
    </xf>
    <xf numFmtId="0" fontId="51" fillId="10" borderId="302" xfId="0" applyFont="1" applyFill="1" applyBorder="1" applyAlignment="1">
      <alignment horizontal="center" vertical="center" wrapText="1"/>
    </xf>
    <xf numFmtId="0" fontId="14" fillId="10" borderId="262" xfId="0" applyFont="1" applyFill="1" applyBorder="1" applyAlignment="1">
      <alignment horizontal="center" vertical="center" wrapText="1"/>
    </xf>
    <xf numFmtId="0" fontId="14" fillId="10" borderId="303" xfId="0" applyFont="1" applyFill="1" applyBorder="1" applyAlignment="1">
      <alignment horizontal="center" vertical="center" wrapText="1"/>
    </xf>
    <xf numFmtId="168" fontId="14" fillId="11" borderId="262" xfId="0" applyNumberFormat="1" applyFont="1" applyFill="1" applyBorder="1" applyAlignment="1">
      <alignment horizontal="center" vertical="center" wrapText="1"/>
    </xf>
    <xf numFmtId="168" fontId="0" fillId="11" borderId="303" xfId="0" applyNumberFormat="1" applyFill="1" applyBorder="1" applyAlignment="1">
      <alignment horizontal="center" vertical="center"/>
    </xf>
    <xf numFmtId="168" fontId="0" fillId="4" borderId="303" xfId="0" applyNumberFormat="1" applyFill="1" applyBorder="1" applyAlignment="1">
      <alignment horizontal="center" vertical="center"/>
    </xf>
    <xf numFmtId="168" fontId="4" fillId="4" borderId="303" xfId="0" applyNumberFormat="1" applyFont="1" applyFill="1" applyBorder="1" applyAlignment="1">
      <alignment horizontal="center" vertical="center" wrapText="1"/>
    </xf>
    <xf numFmtId="0" fontId="51" fillId="9" borderId="299" xfId="0" applyFont="1" applyFill="1" applyBorder="1" applyAlignment="1">
      <alignment horizontal="center" vertical="center" wrapText="1"/>
    </xf>
    <xf numFmtId="168" fontId="4" fillId="4" borderId="304" xfId="0" applyNumberFormat="1" applyFont="1" applyFill="1" applyBorder="1" applyAlignment="1">
      <alignment horizontal="center" vertical="center" wrapText="1"/>
    </xf>
    <xf numFmtId="0" fontId="4" fillId="11" borderId="223" xfId="0" applyFont="1" applyFill="1" applyBorder="1" applyAlignment="1">
      <alignment horizontal="center" vertical="center" wrapText="1"/>
    </xf>
    <xf numFmtId="0" fontId="4" fillId="4" borderId="223" xfId="0" applyFont="1" applyFill="1" applyBorder="1" applyAlignment="1">
      <alignment horizontal="center" vertical="center" wrapText="1"/>
    </xf>
    <xf numFmtId="0" fontId="51" fillId="9" borderId="300" xfId="0" applyFont="1" applyFill="1" applyBorder="1" applyAlignment="1">
      <alignment horizontal="center" vertical="center" wrapText="1"/>
    </xf>
    <xf numFmtId="0" fontId="51" fillId="9" borderId="301" xfId="0" applyFont="1" applyFill="1" applyBorder="1" applyAlignment="1">
      <alignment horizontal="center" vertical="center" wrapText="1"/>
    </xf>
    <xf numFmtId="0" fontId="51" fillId="9" borderId="302" xfId="0" applyFont="1" applyFill="1" applyBorder="1" applyAlignment="1">
      <alignment horizontal="center" vertical="center" wrapText="1"/>
    </xf>
    <xf numFmtId="0" fontId="14" fillId="9" borderId="262" xfId="0" applyFont="1" applyFill="1" applyBorder="1" applyAlignment="1">
      <alignment horizontal="center" vertical="center" wrapText="1"/>
    </xf>
    <xf numFmtId="0" fontId="14" fillId="9" borderId="303" xfId="0" applyFont="1" applyFill="1" applyBorder="1" applyAlignment="1">
      <alignment horizontal="center" vertical="center" wrapText="1"/>
    </xf>
    <xf numFmtId="168" fontId="4" fillId="11" borderId="303" xfId="0" applyNumberFormat="1" applyFont="1" applyFill="1" applyBorder="1" applyAlignment="1">
      <alignment horizontal="center" vertical="center" wrapText="1"/>
    </xf>
    <xf numFmtId="168" fontId="4" fillId="4" borderId="262" xfId="101" applyNumberFormat="1" applyFont="1" applyFill="1" applyBorder="1" applyAlignment="1">
      <alignment horizontal="center" vertical="center" wrapText="1"/>
    </xf>
    <xf numFmtId="168" fontId="4" fillId="4" borderId="305" xfId="101" applyNumberFormat="1" applyFont="1" applyFill="1" applyBorder="1" applyAlignment="1">
      <alignment horizontal="center" vertical="center" wrapText="1"/>
    </xf>
    <xf numFmtId="168" fontId="4" fillId="4" borderId="306" xfId="101" applyNumberFormat="1" applyFont="1" applyFill="1" applyBorder="1" applyAlignment="1">
      <alignment horizontal="center" vertical="center" wrapText="1"/>
    </xf>
    <xf numFmtId="168" fontId="4" fillId="4" borderId="307" xfId="0" applyNumberFormat="1" applyFont="1" applyFill="1" applyBorder="1" applyAlignment="1">
      <alignment horizontal="center" vertical="center" wrapText="1"/>
    </xf>
    <xf numFmtId="168" fontId="4" fillId="0" borderId="295" xfId="0" applyNumberFormat="1" applyFont="1" applyBorder="1" applyAlignment="1">
      <alignment horizontal="center" vertical="center" wrapText="1"/>
    </xf>
    <xf numFmtId="168" fontId="4" fillId="0" borderId="57" xfId="0" applyNumberFormat="1" applyFont="1" applyBorder="1" applyAlignment="1">
      <alignment horizontal="center" vertical="center" wrapText="1"/>
    </xf>
    <xf numFmtId="168" fontId="4" fillId="0" borderId="308" xfId="0" applyNumberFormat="1" applyFont="1" applyBorder="1" applyAlignment="1">
      <alignment horizontal="center" vertical="center" wrapText="1"/>
    </xf>
    <xf numFmtId="168" fontId="4" fillId="0" borderId="223" xfId="0" applyNumberFormat="1" applyFont="1" applyBorder="1" applyAlignment="1">
      <alignment horizontal="center" vertical="center" wrapText="1"/>
    </xf>
    <xf numFmtId="168" fontId="4" fillId="0" borderId="262" xfId="0" applyNumberFormat="1" applyFont="1" applyBorder="1" applyAlignment="1">
      <alignment horizontal="center" vertical="center" wrapText="1"/>
    </xf>
    <xf numFmtId="3" fontId="4" fillId="4" borderId="14" xfId="102" quotePrefix="1" applyNumberFormat="1" applyFont="1" applyFill="1" applyBorder="1" applyAlignment="1" applyProtection="1">
      <alignment horizontal="center" vertical="center" wrapText="1"/>
      <protection locked="0"/>
    </xf>
    <xf numFmtId="0" fontId="62" fillId="10" borderId="14" xfId="0" applyFont="1" applyFill="1" applyBorder="1" applyAlignment="1">
      <alignment horizontal="center" vertical="center" wrapText="1"/>
    </xf>
    <xf numFmtId="0" fontId="62" fillId="9" borderId="14" xfId="0" applyFont="1" applyFill="1" applyBorder="1" applyAlignment="1">
      <alignment horizontal="center" vertical="center" wrapText="1"/>
    </xf>
    <xf numFmtId="0" fontId="14" fillId="10" borderId="1" xfId="0" applyFont="1" applyFill="1" applyBorder="1" applyAlignment="1" applyProtection="1">
      <alignment horizontal="center" vertical="center" wrapText="1"/>
      <protection locked="0"/>
    </xf>
    <xf numFmtId="0" fontId="14" fillId="9" borderId="1" xfId="0" applyFont="1" applyFill="1" applyBorder="1" applyAlignment="1" applyProtection="1">
      <alignment horizontal="center" vertical="center" wrapText="1"/>
      <protection locked="0"/>
    </xf>
    <xf numFmtId="0" fontId="14" fillId="10" borderId="11" xfId="0" applyFont="1" applyFill="1" applyBorder="1" applyAlignment="1" applyProtection="1">
      <alignment horizontal="center" vertical="center" wrapText="1"/>
      <protection locked="0"/>
    </xf>
    <xf numFmtId="0" fontId="14" fillId="9" borderId="11" xfId="0" applyFont="1" applyFill="1" applyBorder="1" applyAlignment="1" applyProtection="1">
      <alignment horizontal="center" vertical="center" wrapText="1"/>
      <protection locked="0"/>
    </xf>
    <xf numFmtId="0" fontId="51" fillId="10" borderId="14" xfId="0" applyFont="1" applyFill="1" applyBorder="1" applyAlignment="1" applyProtection="1">
      <alignment horizontal="center" vertical="center" wrapText="1"/>
      <protection locked="0"/>
    </xf>
    <xf numFmtId="0" fontId="14" fillId="11" borderId="11" xfId="0" applyFont="1" applyFill="1" applyBorder="1" applyAlignment="1" applyProtection="1">
      <alignment horizontal="center" vertical="center" wrapText="1"/>
      <protection locked="0"/>
    </xf>
    <xf numFmtId="0" fontId="51" fillId="9" borderId="14" xfId="0" applyFont="1" applyFill="1" applyBorder="1" applyAlignment="1" applyProtection="1">
      <alignment horizontal="center" vertical="center" wrapText="1"/>
      <protection locked="0"/>
    </xf>
    <xf numFmtId="0" fontId="51" fillId="9" borderId="311" xfId="0" applyFont="1" applyFill="1" applyBorder="1" applyAlignment="1">
      <alignment horizontal="center" vertical="center" wrapText="1"/>
    </xf>
    <xf numFmtId="0" fontId="51" fillId="9" borderId="310" xfId="0" applyFont="1" applyFill="1" applyBorder="1" applyAlignment="1">
      <alignment horizontal="center" vertical="center" wrapText="1"/>
    </xf>
    <xf numFmtId="0" fontId="51" fillId="9" borderId="2" xfId="0" applyFont="1" applyFill="1" applyBorder="1" applyAlignment="1">
      <alignment horizontal="center" vertical="center" wrapText="1"/>
    </xf>
    <xf numFmtId="168" fontId="4" fillId="11" borderId="58" xfId="0" applyNumberFormat="1" applyFont="1" applyFill="1" applyBorder="1" applyAlignment="1">
      <alignment horizontal="center" vertical="center"/>
    </xf>
    <xf numFmtId="168" fontId="4" fillId="11" borderId="38" xfId="102" applyNumberFormat="1" applyFont="1" applyFill="1" applyBorder="1" applyAlignment="1">
      <alignment horizontal="center" vertical="center" wrapText="1"/>
    </xf>
    <xf numFmtId="168" fontId="4" fillId="6" borderId="223" xfId="102" applyNumberFormat="1" applyFont="1" applyFill="1" applyBorder="1" applyAlignment="1" applyProtection="1">
      <alignment horizontal="center" vertical="center" wrapText="1"/>
      <protection locked="0"/>
    </xf>
    <xf numFmtId="0" fontId="51" fillId="9" borderId="92" xfId="0" applyFont="1" applyFill="1" applyBorder="1" applyAlignment="1">
      <alignment horizontal="center" vertical="center" wrapText="1"/>
    </xf>
    <xf numFmtId="0" fontId="51" fillId="9" borderId="93" xfId="0" applyFont="1" applyFill="1" applyBorder="1" applyAlignment="1">
      <alignment horizontal="center" vertical="center" wrapText="1"/>
    </xf>
    <xf numFmtId="0" fontId="51" fillId="9" borderId="94" xfId="0" applyFont="1" applyFill="1" applyBorder="1" applyAlignment="1">
      <alignment horizontal="center" vertical="center" wrapText="1"/>
    </xf>
    <xf numFmtId="0" fontId="14" fillId="9" borderId="81" xfId="0" applyFont="1" applyFill="1" applyBorder="1" applyAlignment="1">
      <alignment horizontal="center" vertical="center" wrapText="1"/>
    </xf>
    <xf numFmtId="0" fontId="14" fillId="9" borderId="312" xfId="0" applyFont="1" applyFill="1" applyBorder="1" applyAlignment="1" applyProtection="1">
      <alignment horizontal="center" vertical="center" wrapText="1"/>
      <protection locked="0"/>
    </xf>
    <xf numFmtId="168" fontId="9" fillId="11" borderId="312" xfId="0" applyNumberFormat="1" applyFont="1" applyFill="1" applyBorder="1" applyAlignment="1">
      <alignment horizontal="center" vertical="center" wrapText="1"/>
    </xf>
    <xf numFmtId="168" fontId="51" fillId="4" borderId="79" xfId="0" applyNumberFormat="1" applyFont="1" applyFill="1" applyBorder="1" applyAlignment="1">
      <alignment horizontal="center" vertical="center" wrapText="1"/>
    </xf>
    <xf numFmtId="168" fontId="51" fillId="4" borderId="80" xfId="0" applyNumberFormat="1" applyFont="1" applyFill="1" applyBorder="1" applyAlignment="1">
      <alignment horizontal="center" vertical="center" wrapText="1"/>
    </xf>
    <xf numFmtId="168" fontId="51" fillId="4" borderId="313" xfId="0" applyNumberFormat="1" applyFont="1" applyFill="1" applyBorder="1" applyAlignment="1">
      <alignment horizontal="center" vertical="center" wrapText="1"/>
    </xf>
    <xf numFmtId="49" fontId="4" fillId="6" borderId="14" xfId="0" applyNumberFormat="1" applyFont="1" applyFill="1" applyBorder="1" applyAlignment="1" applyProtection="1">
      <alignment horizontal="center" vertical="center" wrapText="1"/>
      <protection locked="0"/>
    </xf>
    <xf numFmtId="2" fontId="4" fillId="6" borderId="14" xfId="0" applyNumberFormat="1" applyFont="1" applyFill="1" applyBorder="1" applyAlignment="1" applyProtection="1">
      <alignment horizontal="center" vertical="center" wrapText="1"/>
      <protection locked="0"/>
    </xf>
    <xf numFmtId="0" fontId="4" fillId="6" borderId="5" xfId="0" applyFont="1" applyFill="1" applyBorder="1" applyAlignment="1" applyProtection="1">
      <alignment horizontal="center" vertical="center" wrapText="1"/>
      <protection locked="0"/>
    </xf>
    <xf numFmtId="4" fontId="4" fillId="4" borderId="14" xfId="102" quotePrefix="1" applyNumberFormat="1" applyFont="1" applyFill="1" applyBorder="1" applyAlignment="1" applyProtection="1">
      <alignment horizontal="center" vertical="center" wrapText="1"/>
      <protection locked="0"/>
    </xf>
    <xf numFmtId="0" fontId="4" fillId="0" borderId="1" xfId="0" applyFont="1" applyBorder="1" applyAlignment="1" applyProtection="1">
      <alignment wrapText="1"/>
      <protection locked="0"/>
    </xf>
    <xf numFmtId="168" fontId="51" fillId="11" borderId="1" xfId="0" applyNumberFormat="1" applyFont="1" applyFill="1" applyBorder="1" applyAlignment="1">
      <alignment horizontal="center" vertical="center" wrapText="1"/>
    </xf>
    <xf numFmtId="9" fontId="51" fillId="9" borderId="14" xfId="1" applyFont="1" applyFill="1" applyBorder="1" applyAlignment="1">
      <alignment horizontal="center" vertical="center" wrapText="1"/>
    </xf>
    <xf numFmtId="9" fontId="14" fillId="9" borderId="1" xfId="1" applyFont="1" applyFill="1" applyBorder="1" applyAlignment="1">
      <alignment horizontal="center" vertical="center" wrapText="1"/>
    </xf>
    <xf numFmtId="9" fontId="4" fillId="11" borderId="1" xfId="1" applyFont="1" applyFill="1" applyBorder="1" applyAlignment="1">
      <alignment horizontal="center" vertical="center" wrapText="1"/>
    </xf>
    <xf numFmtId="9" fontId="4" fillId="4" borderId="3" xfId="1" applyFont="1" applyFill="1" applyBorder="1" applyAlignment="1">
      <alignment horizontal="center" vertical="center" wrapText="1"/>
    </xf>
    <xf numFmtId="168" fontId="51" fillId="4" borderId="142" xfId="0" applyNumberFormat="1" applyFont="1" applyFill="1" applyBorder="1" applyAlignment="1">
      <alignment horizontal="center" vertical="center"/>
    </xf>
    <xf numFmtId="168" fontId="73" fillId="4" borderId="0" xfId="0" applyNumberFormat="1" applyFont="1" applyFill="1" applyAlignment="1">
      <alignment vertical="center"/>
    </xf>
    <xf numFmtId="168" fontId="73" fillId="4" borderId="9" xfId="1" applyNumberFormat="1" applyFont="1" applyFill="1" applyBorder="1" applyAlignment="1" applyProtection="1">
      <alignment horizontal="right" vertical="center"/>
    </xf>
    <xf numFmtId="168" fontId="25" fillId="3" borderId="158" xfId="1" applyNumberFormat="1" applyFont="1" applyFill="1" applyBorder="1" applyAlignment="1">
      <alignment horizontal="right" vertical="center"/>
    </xf>
    <xf numFmtId="168" fontId="73" fillId="4" borderId="2" xfId="0" applyNumberFormat="1" applyFont="1" applyFill="1" applyBorder="1" applyAlignment="1">
      <alignment vertical="center"/>
    </xf>
    <xf numFmtId="9" fontId="73" fillId="4" borderId="122" xfId="1" applyFont="1" applyFill="1" applyBorder="1" applyAlignment="1">
      <alignment horizontal="center" vertical="center"/>
    </xf>
    <xf numFmtId="10" fontId="25" fillId="3" borderId="72" xfId="1" applyNumberFormat="1" applyFont="1" applyFill="1" applyBorder="1" applyAlignment="1">
      <alignment vertical="center"/>
    </xf>
    <xf numFmtId="0" fontId="23" fillId="12" borderId="23" xfId="0" applyFont="1" applyFill="1" applyBorder="1" applyAlignment="1">
      <alignment horizontal="left" vertical="center" wrapText="1"/>
    </xf>
    <xf numFmtId="0" fontId="23" fillId="12" borderId="4" xfId="0" applyFont="1" applyFill="1" applyBorder="1" applyAlignment="1">
      <alignment horizontal="left" vertical="center" wrapText="1"/>
    </xf>
    <xf numFmtId="9" fontId="23" fillId="12" borderId="4" xfId="1" applyFont="1" applyFill="1" applyBorder="1" applyAlignment="1">
      <alignment horizontal="left" vertical="center" wrapText="1"/>
    </xf>
    <xf numFmtId="0" fontId="23" fillId="12" borderId="24" xfId="0" applyFont="1" applyFill="1" applyBorder="1" applyAlignment="1">
      <alignment horizontal="left" vertical="center" wrapText="1"/>
    </xf>
    <xf numFmtId="0" fontId="79" fillId="9" borderId="50" xfId="0" applyFont="1" applyFill="1" applyBorder="1" applyAlignment="1">
      <alignment horizontal="center" vertical="center" wrapText="1"/>
    </xf>
    <xf numFmtId="0" fontId="79" fillId="9" borderId="53" xfId="0" applyFont="1" applyFill="1" applyBorder="1" applyAlignment="1">
      <alignment horizontal="center" vertical="center" wrapText="1"/>
    </xf>
    <xf numFmtId="168" fontId="24" fillId="4" borderId="218" xfId="0" applyNumberFormat="1" applyFont="1" applyFill="1" applyBorder="1" applyAlignment="1">
      <alignment horizontal="center" vertical="center" wrapText="1"/>
    </xf>
    <xf numFmtId="166" fontId="2" fillId="2" borderId="43" xfId="0" applyNumberFormat="1" applyFont="1" applyFill="1" applyBorder="1" applyAlignment="1">
      <alignment horizontal="center" vertical="center"/>
    </xf>
    <xf numFmtId="166" fontId="2" fillId="2" borderId="0" xfId="0" applyNumberFormat="1" applyFont="1" applyFill="1" applyAlignment="1">
      <alignment horizontal="center" vertical="center"/>
    </xf>
    <xf numFmtId="166" fontId="2" fillId="2" borderId="39" xfId="0" applyNumberFormat="1" applyFont="1" applyFill="1" applyBorder="1" applyAlignment="1">
      <alignment horizontal="center" vertical="center"/>
    </xf>
    <xf numFmtId="0" fontId="15" fillId="29" borderId="10" xfId="0" applyFont="1" applyFill="1" applyBorder="1" applyAlignment="1">
      <alignment horizontal="center" vertical="center"/>
    </xf>
    <xf numFmtId="0" fontId="15" fillId="29" borderId="12" xfId="0" applyFont="1" applyFill="1" applyBorder="1" applyAlignment="1">
      <alignment horizontal="center" vertical="center"/>
    </xf>
    <xf numFmtId="0" fontId="15" fillId="29" borderId="13" xfId="0" applyFont="1" applyFill="1" applyBorder="1" applyAlignment="1">
      <alignment horizontal="center" vertical="center"/>
    </xf>
    <xf numFmtId="0" fontId="63" fillId="29" borderId="10" xfId="0" applyFont="1" applyFill="1" applyBorder="1" applyAlignment="1">
      <alignment horizontal="left" vertical="center" wrapText="1"/>
    </xf>
    <xf numFmtId="0" fontId="63" fillId="29" borderId="12" xfId="0" applyFont="1" applyFill="1" applyBorder="1" applyAlignment="1">
      <alignment horizontal="left" vertical="center" wrapText="1"/>
    </xf>
    <xf numFmtId="0" fontId="63" fillId="29" borderId="13" xfId="0" applyFont="1" applyFill="1" applyBorder="1" applyAlignment="1">
      <alignment horizontal="left" vertical="center" wrapText="1"/>
    </xf>
    <xf numFmtId="0" fontId="10" fillId="26" borderId="12" xfId="0" applyFont="1" applyFill="1" applyBorder="1" applyAlignment="1">
      <alignment horizontal="center" vertical="center"/>
    </xf>
    <xf numFmtId="0" fontId="10" fillId="26" borderId="7" xfId="0" applyFont="1" applyFill="1" applyBorder="1" applyAlignment="1">
      <alignment horizontal="center" vertical="center"/>
    </xf>
    <xf numFmtId="0" fontId="10" fillId="26" borderId="13" xfId="0" applyFont="1" applyFill="1" applyBorder="1" applyAlignment="1">
      <alignment horizontal="center" vertical="center"/>
    </xf>
    <xf numFmtId="0" fontId="51" fillId="10" borderId="33" xfId="0" applyFont="1" applyFill="1" applyBorder="1" applyAlignment="1">
      <alignment horizontal="center" vertical="center" wrapText="1"/>
    </xf>
    <xf numFmtId="0" fontId="51" fillId="10" borderId="16" xfId="0" applyFont="1" applyFill="1" applyBorder="1" applyAlignment="1">
      <alignment horizontal="center" vertical="center" wrapText="1"/>
    </xf>
    <xf numFmtId="0" fontId="23" fillId="12" borderId="0" xfId="0" applyFont="1" applyFill="1" applyAlignment="1">
      <alignment horizontal="left" vertical="center" wrapText="1"/>
    </xf>
    <xf numFmtId="0" fontId="23" fillId="12" borderId="0" xfId="0" applyFont="1" applyFill="1" applyAlignment="1">
      <alignment horizontal="left" vertical="center"/>
    </xf>
    <xf numFmtId="0" fontId="26" fillId="0" borderId="8" xfId="0" applyFont="1" applyBorder="1" applyAlignment="1">
      <alignment horizontal="center" vertical="center"/>
    </xf>
    <xf numFmtId="0" fontId="26" fillId="0" borderId="0" xfId="0" applyFont="1" applyAlignment="1">
      <alignment horizontal="center" vertical="center"/>
    </xf>
    <xf numFmtId="0" fontId="26" fillId="0" borderId="22" xfId="0" applyFont="1" applyBorder="1" applyAlignment="1">
      <alignment horizontal="center" vertical="center"/>
    </xf>
    <xf numFmtId="0" fontId="23" fillId="0" borderId="0" xfId="0" applyFont="1" applyAlignment="1">
      <alignment horizontal="center" vertical="center"/>
    </xf>
    <xf numFmtId="0" fontId="0" fillId="0" borderId="0" xfId="0" applyAlignment="1">
      <alignment horizontal="center" vertical="center"/>
    </xf>
    <xf numFmtId="0" fontId="15" fillId="0" borderId="0" xfId="0" applyFont="1" applyAlignment="1">
      <alignment horizontal="left" vertical="center"/>
    </xf>
    <xf numFmtId="0" fontId="20" fillId="0" borderId="0" xfId="0" applyFont="1" applyAlignment="1">
      <alignment horizontal="left" vertical="center"/>
    </xf>
    <xf numFmtId="0" fontId="19" fillId="0" borderId="8" xfId="0" applyFont="1" applyBorder="1" applyAlignment="1">
      <alignment horizontal="center" vertical="center"/>
    </xf>
    <xf numFmtId="0" fontId="19" fillId="0" borderId="0" xfId="0" applyFont="1" applyAlignment="1">
      <alignment horizontal="center" vertical="center"/>
    </xf>
    <xf numFmtId="0" fontId="19" fillId="0" borderId="22" xfId="0" applyFont="1" applyBorder="1" applyAlignment="1">
      <alignment horizontal="center" vertical="center"/>
    </xf>
    <xf numFmtId="0" fontId="52" fillId="7" borderId="8" xfId="0" applyFont="1" applyFill="1" applyBorder="1" applyAlignment="1" applyProtection="1">
      <alignment horizontal="center" vertical="center"/>
      <protection locked="0"/>
    </xf>
    <xf numFmtId="0" fontId="52" fillId="7" borderId="0" xfId="0" applyFont="1" applyFill="1" applyAlignment="1" applyProtection="1">
      <alignment horizontal="center" vertical="center"/>
      <protection locked="0"/>
    </xf>
    <xf numFmtId="0" fontId="52" fillId="7" borderId="22" xfId="0" applyFont="1" applyFill="1" applyBorder="1" applyAlignment="1" applyProtection="1">
      <alignment horizontal="center" vertical="center"/>
      <protection locked="0"/>
    </xf>
    <xf numFmtId="0" fontId="22" fillId="0" borderId="8" xfId="0" applyFont="1" applyBorder="1" applyAlignment="1">
      <alignment horizontal="center" vertical="center"/>
    </xf>
    <xf numFmtId="0" fontId="22" fillId="0" borderId="0" xfId="0" applyFont="1" applyAlignment="1">
      <alignment horizontal="center" vertical="center"/>
    </xf>
    <xf numFmtId="0" fontId="22" fillId="0" borderId="22" xfId="0" applyFont="1" applyBorder="1" applyAlignment="1">
      <alignment horizontal="center" vertical="center"/>
    </xf>
    <xf numFmtId="0" fontId="20" fillId="0" borderId="0" xfId="0" applyFont="1" applyAlignment="1">
      <alignment horizontal="center" vertical="center" wrapText="1"/>
    </xf>
    <xf numFmtId="0" fontId="0" fillId="28" borderId="0" xfId="0" applyFill="1" applyAlignment="1">
      <alignment horizontal="center" vertical="center" wrapText="1"/>
    </xf>
    <xf numFmtId="0" fontId="0" fillId="28" borderId="0" xfId="0" applyFill="1" applyAlignment="1">
      <alignment horizontal="center" vertical="center"/>
    </xf>
    <xf numFmtId="0" fontId="0" fillId="28" borderId="22" xfId="0" applyFill="1" applyBorder="1" applyAlignment="1">
      <alignment horizontal="center" vertical="center"/>
    </xf>
    <xf numFmtId="0" fontId="12" fillId="11" borderId="69" xfId="0" applyFont="1" applyFill="1" applyBorder="1" applyAlignment="1">
      <alignment horizontal="center" vertical="center" wrapText="1"/>
    </xf>
    <xf numFmtId="0" fontId="12" fillId="11" borderId="35" xfId="0" applyFont="1" applyFill="1" applyBorder="1" applyAlignment="1">
      <alignment horizontal="center" vertical="center" wrapText="1"/>
    </xf>
    <xf numFmtId="0" fontId="12" fillId="11" borderId="75" xfId="0" applyFont="1" applyFill="1" applyBorder="1" applyAlignment="1">
      <alignment horizontal="center" vertical="center" wrapText="1"/>
    </xf>
    <xf numFmtId="0" fontId="12" fillId="11" borderId="69" xfId="0" applyFont="1" applyFill="1" applyBorder="1" applyAlignment="1">
      <alignment horizontal="center" vertical="top" wrapText="1"/>
    </xf>
    <xf numFmtId="0" fontId="12" fillId="11" borderId="35" xfId="0" applyFont="1" applyFill="1" applyBorder="1" applyAlignment="1">
      <alignment horizontal="center" vertical="top" wrapText="1"/>
    </xf>
    <xf numFmtId="0" fontId="12" fillId="11" borderId="75" xfId="0" applyFont="1" applyFill="1" applyBorder="1" applyAlignment="1">
      <alignment horizontal="center" vertical="top" wrapText="1"/>
    </xf>
    <xf numFmtId="0" fontId="24" fillId="12" borderId="10" xfId="0" applyFont="1" applyFill="1" applyBorder="1" applyAlignment="1">
      <alignment horizontal="center" vertical="center" wrapText="1"/>
    </xf>
    <xf numFmtId="0" fontId="24" fillId="12" borderId="12" xfId="0" applyFont="1" applyFill="1" applyBorder="1" applyAlignment="1">
      <alignment horizontal="center" vertical="center" wrapText="1"/>
    </xf>
    <xf numFmtId="0" fontId="24" fillId="12" borderId="13" xfId="0" applyFont="1" applyFill="1" applyBorder="1" applyAlignment="1">
      <alignment horizontal="center" vertical="center" wrapText="1"/>
    </xf>
    <xf numFmtId="0" fontId="10" fillId="12" borderId="40" xfId="0" applyFont="1" applyFill="1" applyBorder="1" applyAlignment="1">
      <alignment horizontal="center" vertical="center" wrapText="1"/>
    </xf>
    <xf numFmtId="0" fontId="10" fillId="12" borderId="41" xfId="0" applyFont="1" applyFill="1" applyBorder="1" applyAlignment="1">
      <alignment horizontal="center" vertical="center"/>
    </xf>
    <xf numFmtId="0" fontId="10" fillId="12" borderId="7" xfId="0" applyFont="1" applyFill="1" applyBorder="1" applyAlignment="1">
      <alignment horizontal="center" vertical="center"/>
    </xf>
    <xf numFmtId="0" fontId="10" fillId="12" borderId="42" xfId="0" applyFont="1" applyFill="1" applyBorder="1" applyAlignment="1">
      <alignment horizontal="center" vertical="center"/>
    </xf>
    <xf numFmtId="0" fontId="10" fillId="26" borderId="9" xfId="0" applyFont="1" applyFill="1" applyBorder="1" applyAlignment="1">
      <alignment horizontal="center" vertical="center" wrapText="1"/>
    </xf>
    <xf numFmtId="0" fontId="10" fillId="26" borderId="9" xfId="0" applyFont="1" applyFill="1" applyBorder="1" applyAlignment="1">
      <alignment horizontal="center" vertical="center"/>
    </xf>
    <xf numFmtId="0" fontId="10" fillId="26" borderId="56" xfId="0" applyFont="1" applyFill="1" applyBorder="1" applyAlignment="1">
      <alignment horizontal="center" vertical="center"/>
    </xf>
    <xf numFmtId="0" fontId="10" fillId="26" borderId="3" xfId="0" applyFont="1" applyFill="1" applyBorder="1" applyAlignment="1">
      <alignment horizontal="center" vertical="center"/>
    </xf>
    <xf numFmtId="0" fontId="2" fillId="2" borderId="64" xfId="0" applyFont="1" applyFill="1" applyBorder="1" applyAlignment="1">
      <alignment horizontal="right" vertical="center"/>
    </xf>
    <xf numFmtId="0" fontId="2" fillId="2" borderId="0" xfId="0" applyFont="1" applyFill="1" applyAlignment="1">
      <alignment horizontal="right" vertical="center"/>
    </xf>
    <xf numFmtId="0" fontId="0" fillId="2" borderId="56" xfId="0" applyFill="1" applyBorder="1" applyAlignment="1">
      <alignment horizontal="center"/>
    </xf>
    <xf numFmtId="0" fontId="2" fillId="2" borderId="8" xfId="0" applyFont="1" applyFill="1" applyBorder="1" applyAlignment="1">
      <alignment horizontal="right" vertical="center"/>
    </xf>
    <xf numFmtId="0" fontId="2" fillId="2" borderId="309" xfId="0" applyFont="1" applyFill="1" applyBorder="1" applyAlignment="1">
      <alignment horizontal="right" vertical="center"/>
    </xf>
    <xf numFmtId="0" fontId="10" fillId="12" borderId="27" xfId="0" applyFont="1" applyFill="1" applyBorder="1" applyAlignment="1">
      <alignment horizontal="center" vertical="center" wrapText="1"/>
    </xf>
    <xf numFmtId="0" fontId="10" fillId="12" borderId="19" xfId="0" applyFont="1" applyFill="1" applyBorder="1" applyAlignment="1">
      <alignment horizontal="center" vertical="center" wrapText="1"/>
    </xf>
    <xf numFmtId="0" fontId="10" fillId="12" borderId="20" xfId="0" applyFont="1" applyFill="1" applyBorder="1" applyAlignment="1">
      <alignment horizontal="center" vertical="center" wrapText="1"/>
    </xf>
    <xf numFmtId="0" fontId="51" fillId="10" borderId="35" xfId="0" applyFont="1" applyFill="1" applyBorder="1" applyAlignment="1">
      <alignment horizontal="center" vertical="center" wrapText="1"/>
    </xf>
    <xf numFmtId="0" fontId="10" fillId="26" borderId="10" xfId="0" applyFont="1" applyFill="1" applyBorder="1" applyAlignment="1">
      <alignment horizontal="center" vertical="center" wrapText="1"/>
    </xf>
    <xf numFmtId="0" fontId="10" fillId="26" borderId="12" xfId="0" applyFont="1" applyFill="1" applyBorder="1" applyAlignment="1">
      <alignment horizontal="center" vertical="center" wrapText="1"/>
    </xf>
    <xf numFmtId="0" fontId="10" fillId="26" borderId="13" xfId="0" applyFont="1" applyFill="1" applyBorder="1" applyAlignment="1">
      <alignment horizontal="center" vertical="center" wrapText="1"/>
    </xf>
    <xf numFmtId="0" fontId="10" fillId="26" borderId="0" xfId="0" applyFont="1" applyFill="1" applyAlignment="1">
      <alignment horizontal="center" vertical="center" wrapText="1"/>
    </xf>
    <xf numFmtId="0" fontId="2" fillId="2" borderId="36" xfId="0" applyFont="1" applyFill="1" applyBorder="1" applyAlignment="1">
      <alignment horizontal="right" vertical="center"/>
    </xf>
    <xf numFmtId="0" fontId="2" fillId="2" borderId="37" xfId="0" applyFont="1" applyFill="1" applyBorder="1" applyAlignment="1">
      <alignment horizontal="right" vertical="center"/>
    </xf>
    <xf numFmtId="0" fontId="51" fillId="10" borderId="17" xfId="0" applyFont="1" applyFill="1" applyBorder="1" applyAlignment="1">
      <alignment horizontal="center" vertical="center" wrapText="1"/>
    </xf>
    <xf numFmtId="0" fontId="10" fillId="12" borderId="41" xfId="0" applyFont="1" applyFill="1" applyBorder="1" applyAlignment="1">
      <alignment horizontal="center" vertical="center" wrapText="1"/>
    </xf>
    <xf numFmtId="0" fontId="10" fillId="12" borderId="42" xfId="0" applyFont="1" applyFill="1" applyBorder="1" applyAlignment="1">
      <alignment horizontal="center" vertical="center" wrapText="1"/>
    </xf>
    <xf numFmtId="0" fontId="14" fillId="0" borderId="11" xfId="1" applyNumberFormat="1" applyFont="1" applyFill="1" applyBorder="1" applyAlignment="1" applyProtection="1">
      <alignment horizontal="center" vertical="center" wrapText="1"/>
      <protection locked="0"/>
    </xf>
    <xf numFmtId="0" fontId="14" fillId="0" borderId="26" xfId="1" applyNumberFormat="1" applyFont="1" applyFill="1" applyBorder="1" applyAlignment="1" applyProtection="1">
      <alignment horizontal="center" vertical="center" wrapText="1"/>
      <protection locked="0"/>
    </xf>
    <xf numFmtId="0" fontId="14" fillId="0" borderId="14" xfId="1" applyNumberFormat="1" applyFont="1" applyFill="1" applyBorder="1" applyAlignment="1" applyProtection="1">
      <alignment horizontal="center" vertical="center" wrapText="1"/>
      <protection locked="0"/>
    </xf>
    <xf numFmtId="0" fontId="9" fillId="4" borderId="11" xfId="1" applyNumberFormat="1" applyFont="1" applyFill="1" applyBorder="1" applyAlignment="1" applyProtection="1">
      <alignment horizontal="center" vertical="center" wrapText="1"/>
    </xf>
    <xf numFmtId="0" fontId="9" fillId="4" borderId="26" xfId="1" applyNumberFormat="1" applyFont="1" applyFill="1" applyBorder="1" applyAlignment="1" applyProtection="1">
      <alignment horizontal="center" vertical="center" wrapText="1"/>
    </xf>
    <xf numFmtId="0" fontId="9" fillId="4" borderId="14" xfId="1" applyNumberFormat="1" applyFont="1" applyFill="1" applyBorder="1" applyAlignment="1" applyProtection="1">
      <alignment horizontal="center" vertical="center" wrapText="1"/>
    </xf>
    <xf numFmtId="0" fontId="10" fillId="26" borderId="4" xfId="0" applyFont="1" applyFill="1" applyBorder="1" applyAlignment="1">
      <alignment horizontal="center" vertical="center" wrapText="1"/>
    </xf>
    <xf numFmtId="0" fontId="10" fillId="26" borderId="24" xfId="0" applyFont="1" applyFill="1" applyBorder="1" applyAlignment="1">
      <alignment horizontal="center" vertical="center" wrapText="1"/>
    </xf>
    <xf numFmtId="0" fontId="10" fillId="26" borderId="40" xfId="0" applyFont="1" applyFill="1" applyBorder="1" applyAlignment="1">
      <alignment horizontal="center" vertical="center" wrapText="1"/>
    </xf>
    <xf numFmtId="0" fontId="10" fillId="26" borderId="41" xfId="0" applyFont="1" applyFill="1" applyBorder="1" applyAlignment="1">
      <alignment horizontal="center" vertical="center" wrapText="1"/>
    </xf>
    <xf numFmtId="0" fontId="10" fillId="26" borderId="42" xfId="0" applyFont="1" applyFill="1" applyBorder="1" applyAlignment="1">
      <alignment horizontal="center" vertical="center" wrapText="1"/>
    </xf>
    <xf numFmtId="0" fontId="24" fillId="12" borderId="36" xfId="0" applyFont="1" applyFill="1" applyBorder="1" applyAlignment="1">
      <alignment horizontal="center" vertical="center" wrapText="1"/>
    </xf>
    <xf numFmtId="0" fontId="24" fillId="12" borderId="37" xfId="0" applyFont="1" applyFill="1" applyBorder="1" applyAlignment="1">
      <alignment horizontal="center" vertical="center" wrapText="1"/>
    </xf>
    <xf numFmtId="0" fontId="24" fillId="12" borderId="91" xfId="0" applyFont="1" applyFill="1" applyBorder="1" applyAlignment="1">
      <alignment horizontal="center" vertical="center" wrapText="1"/>
    </xf>
    <xf numFmtId="0" fontId="10" fillId="12" borderId="10" xfId="0" applyFont="1" applyFill="1" applyBorder="1" applyAlignment="1">
      <alignment horizontal="center" vertical="center" wrapText="1"/>
    </xf>
    <xf numFmtId="0" fontId="10" fillId="12" borderId="12" xfId="0" applyFont="1" applyFill="1" applyBorder="1" applyAlignment="1">
      <alignment horizontal="center" vertical="center" wrapText="1"/>
    </xf>
    <xf numFmtId="0" fontId="10" fillId="12" borderId="13" xfId="0" applyFont="1" applyFill="1" applyBorder="1" applyAlignment="1">
      <alignment horizontal="center" vertical="center" wrapText="1"/>
    </xf>
    <xf numFmtId="0" fontId="51" fillId="10" borderId="69" xfId="0" applyFont="1" applyFill="1" applyBorder="1" applyAlignment="1">
      <alignment horizontal="center" vertical="center" wrapText="1"/>
    </xf>
    <xf numFmtId="0" fontId="10" fillId="12" borderId="6" xfId="0" applyFont="1" applyFill="1" applyBorder="1" applyAlignment="1">
      <alignment horizontal="center" vertical="center" wrapText="1"/>
    </xf>
    <xf numFmtId="0" fontId="10" fillId="12" borderId="7" xfId="0" applyFont="1" applyFill="1" applyBorder="1" applyAlignment="1">
      <alignment horizontal="center" vertical="center" wrapText="1"/>
    </xf>
    <xf numFmtId="0" fontId="10" fillId="26" borderId="8" xfId="0" applyFont="1" applyFill="1" applyBorder="1" applyAlignment="1">
      <alignment horizontal="center" vertical="center" wrapText="1"/>
    </xf>
    <xf numFmtId="0" fontId="58" fillId="12" borderId="6" xfId="0" applyFont="1" applyFill="1" applyBorder="1" applyAlignment="1">
      <alignment horizontal="center" vertical="center" wrapText="1"/>
    </xf>
    <xf numFmtId="0" fontId="58" fillId="12" borderId="7" xfId="0" applyFont="1" applyFill="1" applyBorder="1" applyAlignment="1">
      <alignment horizontal="center" vertical="center" wrapText="1"/>
    </xf>
    <xf numFmtId="0" fontId="58" fillId="12" borderId="12" xfId="0" applyFont="1" applyFill="1" applyBorder="1" applyAlignment="1">
      <alignment horizontal="center" vertical="center" wrapText="1"/>
    </xf>
    <xf numFmtId="0" fontId="58" fillId="12" borderId="13" xfId="0" applyFont="1" applyFill="1" applyBorder="1" applyAlignment="1">
      <alignment horizontal="center" vertical="center" wrapText="1"/>
    </xf>
    <xf numFmtId="0" fontId="25" fillId="2" borderId="165" xfId="0" applyFont="1" applyFill="1" applyBorder="1" applyAlignment="1">
      <alignment horizontal="center" vertical="center"/>
    </xf>
    <xf numFmtId="0" fontId="25" fillId="2" borderId="166" xfId="0" applyFont="1" applyFill="1" applyBorder="1" applyAlignment="1">
      <alignment horizontal="center" vertical="center"/>
    </xf>
    <xf numFmtId="0" fontId="25" fillId="8" borderId="121" xfId="0" applyFont="1" applyFill="1" applyBorder="1" applyAlignment="1">
      <alignment horizontal="center" vertical="center" wrapText="1"/>
    </xf>
    <xf numFmtId="0" fontId="25" fillId="8" borderId="14" xfId="0" applyFont="1" applyFill="1" applyBorder="1" applyAlignment="1">
      <alignment horizontal="center" vertical="center" wrapText="1"/>
    </xf>
    <xf numFmtId="0" fontId="25" fillId="8" borderId="167" xfId="0" applyFont="1" applyFill="1" applyBorder="1" applyAlignment="1">
      <alignment horizontal="center" vertical="center" wrapText="1"/>
    </xf>
    <xf numFmtId="0" fontId="25" fillId="8" borderId="11" xfId="0" applyFont="1" applyFill="1" applyBorder="1" applyAlignment="1">
      <alignment horizontal="center" vertical="center" wrapText="1"/>
    </xf>
    <xf numFmtId="0" fontId="17" fillId="4" borderId="6" xfId="0" applyFont="1" applyFill="1" applyBorder="1" applyAlignment="1">
      <alignment horizontal="center" vertical="center" wrapText="1"/>
    </xf>
    <xf numFmtId="0" fontId="17" fillId="4" borderId="7" xfId="0" applyFont="1" applyFill="1" applyBorder="1" applyAlignment="1">
      <alignment horizontal="center" vertical="center" wrapText="1"/>
    </xf>
    <xf numFmtId="0" fontId="17" fillId="4" borderId="21" xfId="0" applyFont="1" applyFill="1" applyBorder="1" applyAlignment="1">
      <alignment horizontal="center" vertical="center" wrapText="1"/>
    </xf>
    <xf numFmtId="0" fontId="17" fillId="4" borderId="8" xfId="0" applyFont="1" applyFill="1" applyBorder="1" applyAlignment="1">
      <alignment horizontal="center" vertical="center" wrapText="1"/>
    </xf>
    <xf numFmtId="0" fontId="17" fillId="4" borderId="0" xfId="0" applyFont="1" applyFill="1" applyAlignment="1">
      <alignment horizontal="center" vertical="center" wrapText="1"/>
    </xf>
    <xf numFmtId="0" fontId="17" fillId="4" borderId="22" xfId="0" applyFont="1" applyFill="1" applyBorder="1" applyAlignment="1">
      <alignment horizontal="center" vertical="center" wrapText="1"/>
    </xf>
    <xf numFmtId="0" fontId="17" fillId="4" borderId="23" xfId="0" applyFont="1" applyFill="1" applyBorder="1" applyAlignment="1">
      <alignment horizontal="center" vertical="center" wrapText="1"/>
    </xf>
    <xf numFmtId="0" fontId="17" fillId="4" borderId="4" xfId="0" applyFont="1" applyFill="1" applyBorder="1" applyAlignment="1">
      <alignment horizontal="center" vertical="center" wrapText="1"/>
    </xf>
    <xf numFmtId="0" fontId="17" fillId="4" borderId="24" xfId="0" applyFont="1" applyFill="1" applyBorder="1" applyAlignment="1">
      <alignment horizontal="center" vertical="center" wrapText="1"/>
    </xf>
    <xf numFmtId="10" fontId="73" fillId="4" borderId="5" xfId="1" applyNumberFormat="1" applyFont="1" applyFill="1" applyBorder="1" applyAlignment="1" applyProtection="1">
      <alignment horizontal="center" vertical="center"/>
    </xf>
    <xf numFmtId="10" fontId="73" fillId="4" borderId="2" xfId="1" applyNumberFormat="1" applyFont="1" applyFill="1" applyBorder="1" applyAlignment="1" applyProtection="1">
      <alignment horizontal="center" vertical="center"/>
    </xf>
    <xf numFmtId="10" fontId="73" fillId="4" borderId="136" xfId="1" applyNumberFormat="1" applyFont="1" applyFill="1" applyBorder="1" applyAlignment="1" applyProtection="1">
      <alignment horizontal="center" vertical="center"/>
    </xf>
    <xf numFmtId="10" fontId="73" fillId="4" borderId="28" xfId="1" applyNumberFormat="1" applyFont="1" applyFill="1" applyBorder="1" applyAlignment="1" applyProtection="1">
      <alignment horizontal="center" vertical="center"/>
    </xf>
    <xf numFmtId="10" fontId="73" fillId="4" borderId="3" xfId="1" applyNumberFormat="1" applyFont="1" applyFill="1" applyBorder="1" applyAlignment="1" applyProtection="1">
      <alignment horizontal="center" vertical="center"/>
    </xf>
    <xf numFmtId="10" fontId="73" fillId="4" borderId="159" xfId="1" applyNumberFormat="1" applyFont="1" applyFill="1" applyBorder="1" applyAlignment="1" applyProtection="1">
      <alignment horizontal="center" vertical="center"/>
    </xf>
    <xf numFmtId="0" fontId="25" fillId="4" borderId="5" xfId="0" applyFont="1" applyFill="1" applyBorder="1" applyAlignment="1" applyProtection="1">
      <alignment horizontal="center" vertical="center"/>
      <protection locked="0"/>
    </xf>
    <xf numFmtId="0" fontId="25" fillId="4" borderId="2" xfId="0" applyFont="1" applyFill="1" applyBorder="1" applyAlignment="1" applyProtection="1">
      <alignment horizontal="center" vertical="center"/>
      <protection locked="0"/>
    </xf>
    <xf numFmtId="0" fontId="25" fillId="4" borderId="136" xfId="0" applyFont="1" applyFill="1" applyBorder="1" applyAlignment="1" applyProtection="1">
      <alignment horizontal="center" vertical="center"/>
      <protection locked="0"/>
    </xf>
    <xf numFmtId="0" fontId="65" fillId="4" borderId="107" xfId="0" applyFont="1" applyFill="1" applyBorder="1" applyAlignment="1">
      <alignment horizontal="left" vertical="center" wrapText="1"/>
    </xf>
    <xf numFmtId="0" fontId="65" fillId="4" borderId="57" xfId="0" applyFont="1" applyFill="1" applyBorder="1" applyAlignment="1">
      <alignment horizontal="left" vertical="center" wrapText="1"/>
    </xf>
    <xf numFmtId="0" fontId="65" fillId="4" borderId="139" xfId="0" applyFont="1" applyFill="1" applyBorder="1" applyAlignment="1">
      <alignment horizontal="left" vertical="center" wrapText="1"/>
    </xf>
    <xf numFmtId="0" fontId="65" fillId="4" borderId="140" xfId="0" applyFont="1" applyFill="1" applyBorder="1" applyAlignment="1">
      <alignment horizontal="left" vertical="center" wrapText="1"/>
    </xf>
    <xf numFmtId="9" fontId="82" fillId="10" borderId="140" xfId="1" applyFont="1" applyFill="1" applyBorder="1" applyAlignment="1" applyProtection="1">
      <alignment horizontal="center" vertical="center" wrapText="1"/>
      <protection hidden="1"/>
    </xf>
    <xf numFmtId="9" fontId="125" fillId="10" borderId="214" xfId="1" applyFont="1" applyFill="1" applyBorder="1" applyAlignment="1" applyProtection="1">
      <alignment horizontal="center" vertical="center" wrapText="1"/>
      <protection hidden="1"/>
    </xf>
    <xf numFmtId="0" fontId="0" fillId="27" borderId="188" xfId="0" applyFill="1" applyBorder="1" applyAlignment="1">
      <alignment horizontal="center" vertical="center" wrapText="1"/>
    </xf>
    <xf numFmtId="0" fontId="0" fillId="27" borderId="12" xfId="0" applyFill="1" applyBorder="1" applyAlignment="1">
      <alignment horizontal="center" vertical="center" wrapText="1"/>
    </xf>
    <xf numFmtId="0" fontId="24" fillId="4" borderId="219" xfId="0" applyFont="1" applyFill="1" applyBorder="1" applyAlignment="1" applyProtection="1">
      <alignment horizontal="left" vertical="center" wrapText="1"/>
      <protection hidden="1"/>
    </xf>
    <xf numFmtId="0" fontId="24" fillId="4" borderId="220" xfId="0" applyFont="1" applyFill="1" applyBorder="1" applyAlignment="1" applyProtection="1">
      <alignment horizontal="left" vertical="center" wrapText="1"/>
      <protection hidden="1"/>
    </xf>
    <xf numFmtId="164" fontId="10" fillId="35" borderId="177" xfId="0" applyNumberFormat="1" applyFont="1" applyFill="1" applyBorder="1" applyAlignment="1" applyProtection="1">
      <alignment horizontal="center" vertical="center" wrapText="1"/>
      <protection hidden="1"/>
    </xf>
    <xf numFmtId="164" fontId="10" fillId="35" borderId="156" xfId="0" applyNumberFormat="1" applyFont="1" applyFill="1" applyBorder="1" applyAlignment="1" applyProtection="1">
      <alignment horizontal="center" vertical="center" wrapText="1"/>
      <protection hidden="1"/>
    </xf>
    <xf numFmtId="164" fontId="10" fillId="35" borderId="178" xfId="0" applyNumberFormat="1" applyFont="1" applyFill="1" applyBorder="1" applyAlignment="1" applyProtection="1">
      <alignment horizontal="center" vertical="center" wrapText="1"/>
      <protection hidden="1"/>
    </xf>
    <xf numFmtId="0" fontId="10" fillId="35" borderId="23" xfId="0" applyFont="1" applyFill="1" applyBorder="1" applyAlignment="1">
      <alignment horizontal="center" vertical="center" wrapText="1"/>
    </xf>
    <xf numFmtId="0" fontId="10" fillId="35" borderId="24" xfId="0" applyFont="1" applyFill="1" applyBorder="1" applyAlignment="1">
      <alignment horizontal="center" vertical="center" wrapText="1"/>
    </xf>
    <xf numFmtId="164" fontId="25" fillId="3" borderId="174" xfId="0" applyNumberFormat="1" applyFont="1" applyFill="1" applyBorder="1" applyAlignment="1">
      <alignment horizontal="center" vertical="center"/>
    </xf>
    <xf numFmtId="164" fontId="25" fillId="3" borderId="175" xfId="0" applyNumberFormat="1" applyFont="1" applyFill="1" applyBorder="1" applyAlignment="1">
      <alignment horizontal="center" vertical="center"/>
    </xf>
    <xf numFmtId="164" fontId="25" fillId="3" borderId="176" xfId="0" applyNumberFormat="1" applyFont="1" applyFill="1" applyBorder="1" applyAlignment="1">
      <alignment horizontal="center" vertical="center"/>
    </xf>
    <xf numFmtId="0" fontId="79" fillId="10" borderId="172" xfId="0" applyFont="1" applyFill="1" applyBorder="1" applyAlignment="1">
      <alignment horizontal="center" vertical="center" wrapText="1"/>
    </xf>
    <xf numFmtId="0" fontId="79" fillId="10" borderId="187" xfId="0" applyFont="1" applyFill="1" applyBorder="1" applyAlignment="1">
      <alignment horizontal="center" vertical="center" wrapText="1"/>
    </xf>
    <xf numFmtId="0" fontId="79" fillId="10" borderId="185" xfId="0" applyFont="1" applyFill="1" applyBorder="1" applyAlignment="1">
      <alignment horizontal="center" vertical="center" wrapText="1"/>
    </xf>
    <xf numFmtId="0" fontId="79" fillId="10" borderId="186" xfId="0" applyFont="1" applyFill="1" applyBorder="1" applyAlignment="1">
      <alignment horizontal="center" vertical="center" wrapText="1"/>
    </xf>
    <xf numFmtId="0" fontId="52" fillId="12" borderId="177" xfId="0" applyFont="1" applyFill="1" applyBorder="1" applyAlignment="1">
      <alignment horizontal="center" vertical="center" wrapText="1"/>
    </xf>
    <xf numFmtId="0" fontId="52" fillId="12" borderId="156" xfId="0" applyFont="1" applyFill="1" applyBorder="1" applyAlignment="1">
      <alignment horizontal="center" vertical="center" wrapText="1"/>
    </xf>
    <xf numFmtId="0" fontId="52" fillId="12" borderId="184" xfId="0" applyFont="1" applyFill="1" applyBorder="1" applyAlignment="1">
      <alignment horizontal="center" vertical="center" wrapText="1"/>
    </xf>
    <xf numFmtId="0" fontId="25" fillId="2" borderId="128" xfId="0" applyFont="1" applyFill="1" applyBorder="1" applyAlignment="1">
      <alignment horizontal="center" vertical="center"/>
    </xf>
    <xf numFmtId="0" fontId="25" fillId="2" borderId="129" xfId="0" applyFont="1" applyFill="1" applyBorder="1" applyAlignment="1">
      <alignment horizontal="center" vertical="center"/>
    </xf>
    <xf numFmtId="0" fontId="83" fillId="0" borderId="0" xfId="0" applyFont="1" applyAlignment="1">
      <alignment horizontal="left" vertical="center" wrapText="1"/>
    </xf>
    <xf numFmtId="0" fontId="83" fillId="0" borderId="0" xfId="0" applyFont="1" applyAlignment="1">
      <alignment horizontal="left" vertical="center"/>
    </xf>
    <xf numFmtId="0" fontId="25" fillId="0" borderId="0" xfId="0" applyFont="1" applyAlignment="1">
      <alignment horizontal="left" vertical="center" wrapText="1"/>
    </xf>
    <xf numFmtId="0" fontId="26" fillId="12" borderId="51" xfId="0" applyFont="1" applyFill="1" applyBorder="1" applyAlignment="1">
      <alignment horizontal="center" vertical="center" wrapText="1"/>
    </xf>
    <xf numFmtId="0" fontId="26" fillId="12" borderId="14" xfId="0" applyFont="1" applyFill="1" applyBorder="1" applyAlignment="1">
      <alignment horizontal="center" vertical="center" wrapText="1"/>
    </xf>
    <xf numFmtId="0" fontId="26" fillId="12" borderId="96" xfId="0" applyFont="1" applyFill="1" applyBorder="1" applyAlignment="1">
      <alignment horizontal="center" vertical="center" wrapText="1"/>
    </xf>
    <xf numFmtId="0" fontId="26" fillId="12" borderId="34" xfId="0" applyFont="1" applyFill="1" applyBorder="1" applyAlignment="1">
      <alignment horizontal="center" vertical="center" wrapText="1"/>
    </xf>
    <xf numFmtId="0" fontId="26" fillId="10" borderId="51" xfId="0" applyFont="1" applyFill="1" applyBorder="1" applyAlignment="1">
      <alignment horizontal="center" vertical="center" wrapText="1"/>
    </xf>
    <xf numFmtId="0" fontId="26" fillId="10" borderId="14" xfId="0" applyFont="1" applyFill="1" applyBorder="1" applyAlignment="1">
      <alignment horizontal="center" vertical="center" wrapText="1"/>
    </xf>
    <xf numFmtId="0" fontId="26" fillId="10" borderId="172" xfId="0" applyFont="1" applyFill="1" applyBorder="1" applyAlignment="1">
      <alignment horizontal="center" vertical="center" wrapText="1"/>
    </xf>
    <xf numFmtId="0" fontId="26" fillId="10" borderId="112" xfId="0" applyFont="1" applyFill="1" applyBorder="1" applyAlignment="1">
      <alignment horizontal="center" vertical="center" wrapText="1"/>
    </xf>
    <xf numFmtId="0" fontId="25" fillId="4" borderId="209" xfId="0" applyFont="1" applyFill="1" applyBorder="1" applyAlignment="1">
      <alignment horizontal="left" vertical="center" wrapText="1"/>
    </xf>
    <xf numFmtId="0" fontId="25" fillId="4" borderId="149" xfId="0" applyFont="1" applyFill="1" applyBorder="1" applyAlignment="1">
      <alignment horizontal="left" vertical="center" wrapText="1"/>
    </xf>
    <xf numFmtId="0" fontId="25" fillId="4" borderId="107" xfId="0" applyFont="1" applyFill="1" applyBorder="1" applyAlignment="1">
      <alignment horizontal="left" vertical="center" wrapText="1"/>
    </xf>
    <xf numFmtId="0" fontId="25" fillId="4" borderId="57" xfId="0" applyFont="1" applyFill="1" applyBorder="1" applyAlignment="1">
      <alignment horizontal="left" vertical="center" wrapText="1"/>
    </xf>
    <xf numFmtId="0" fontId="84" fillId="12" borderId="51" xfId="0" applyFont="1" applyFill="1" applyBorder="1" applyAlignment="1" applyProtection="1">
      <alignment horizontal="center" vertical="center" wrapText="1"/>
      <protection hidden="1"/>
    </xf>
    <xf numFmtId="0" fontId="84" fillId="12" borderId="19" xfId="0" applyFont="1" applyFill="1" applyBorder="1" applyAlignment="1" applyProtection="1">
      <alignment horizontal="center" vertical="center" wrapText="1"/>
      <protection hidden="1"/>
    </xf>
    <xf numFmtId="0" fontId="84" fillId="12" borderId="73" xfId="0" applyFont="1" applyFill="1" applyBorder="1" applyAlignment="1" applyProtection="1">
      <alignment horizontal="center" vertical="center" wrapText="1"/>
      <protection hidden="1"/>
    </xf>
    <xf numFmtId="0" fontId="84" fillId="12" borderId="53" xfId="0" applyFont="1" applyFill="1" applyBorder="1" applyAlignment="1" applyProtection="1">
      <alignment horizontal="center" vertical="center" wrapText="1"/>
      <protection hidden="1"/>
    </xf>
    <xf numFmtId="0" fontId="25" fillId="0" borderId="168" xfId="0" applyFont="1" applyBorder="1" applyAlignment="1">
      <alignment horizontal="center" vertical="center" wrapText="1"/>
    </xf>
    <xf numFmtId="0" fontId="25" fillId="0" borderId="170" xfId="0" applyFont="1" applyBorder="1" applyAlignment="1">
      <alignment horizontal="center" vertical="center" wrapText="1"/>
    </xf>
    <xf numFmtId="0" fontId="25" fillId="0" borderId="173" xfId="0" applyFont="1" applyBorder="1" applyAlignment="1">
      <alignment horizontal="center" vertical="center" wrapText="1"/>
    </xf>
    <xf numFmtId="0" fontId="65" fillId="4" borderId="216" xfId="0" applyFont="1" applyFill="1" applyBorder="1" applyAlignment="1">
      <alignment horizontal="left" vertical="center" wrapText="1"/>
    </xf>
    <xf numFmtId="0" fontId="65" fillId="4" borderId="217" xfId="0" applyFont="1" applyFill="1" applyBorder="1" applyAlignment="1">
      <alignment horizontal="left" vertical="center" wrapText="1"/>
    </xf>
    <xf numFmtId="0" fontId="84" fillId="12" borderId="101" xfId="0" applyFont="1" applyFill="1" applyBorder="1" applyAlignment="1" applyProtection="1">
      <alignment horizontal="center" vertical="center" wrapText="1"/>
      <protection hidden="1"/>
    </xf>
    <xf numFmtId="0" fontId="84" fillId="12" borderId="7" xfId="0" applyFont="1" applyFill="1" applyBorder="1" applyAlignment="1" applyProtection="1">
      <alignment horizontal="center" vertical="center" wrapText="1"/>
      <protection hidden="1"/>
    </xf>
    <xf numFmtId="0" fontId="84" fillId="12" borderId="69" xfId="0" applyFont="1" applyFill="1" applyBorder="1" applyAlignment="1" applyProtection="1">
      <alignment horizontal="center" vertical="center" wrapText="1"/>
      <protection hidden="1"/>
    </xf>
    <xf numFmtId="0" fontId="84" fillId="12" borderId="27" xfId="0" applyFont="1" applyFill="1" applyBorder="1" applyAlignment="1" applyProtection="1">
      <alignment horizontal="center" vertical="center" wrapText="1"/>
      <protection hidden="1"/>
    </xf>
    <xf numFmtId="0" fontId="59" fillId="0" borderId="0" xfId="0" applyFont="1" applyAlignment="1" applyProtection="1">
      <alignment horizontal="left" vertical="center" wrapText="1"/>
      <protection hidden="1"/>
    </xf>
    <xf numFmtId="0" fontId="59" fillId="0" borderId="0" xfId="0" applyFont="1" applyAlignment="1" applyProtection="1">
      <alignment horizontal="left" vertical="center"/>
      <protection hidden="1"/>
    </xf>
    <xf numFmtId="0" fontId="15" fillId="0" borderId="0" xfId="0" applyFont="1" applyAlignment="1" applyProtection="1">
      <alignment horizontal="center" vertical="center" wrapText="1"/>
      <protection hidden="1"/>
    </xf>
    <xf numFmtId="0" fontId="15" fillId="0" borderId="0" xfId="0" applyFont="1" applyAlignment="1" applyProtection="1">
      <alignment horizontal="center" vertical="center"/>
      <protection hidden="1"/>
    </xf>
    <xf numFmtId="0" fontId="15" fillId="0" borderId="0" xfId="0" applyFont="1" applyAlignment="1" applyProtection="1">
      <alignment horizontal="left" vertical="center" wrapText="1"/>
      <protection hidden="1"/>
    </xf>
    <xf numFmtId="0" fontId="24" fillId="4" borderId="107" xfId="0" applyFont="1" applyFill="1" applyBorder="1" applyAlignment="1">
      <alignment horizontal="center" vertical="center" wrapText="1"/>
    </xf>
    <xf numFmtId="0" fontId="24" fillId="4" borderId="57" xfId="0" applyFont="1" applyFill="1" applyBorder="1" applyAlignment="1">
      <alignment horizontal="center" vertical="center" wrapText="1"/>
    </xf>
    <xf numFmtId="168" fontId="106" fillId="38" borderId="100" xfId="0" applyNumberFormat="1" applyFont="1" applyFill="1" applyBorder="1" applyAlignment="1">
      <alignment horizontal="center" vertical="center" wrapText="1"/>
    </xf>
    <xf numFmtId="168" fontId="106" fillId="38" borderId="101" xfId="0" applyNumberFormat="1" applyFont="1" applyFill="1" applyBorder="1" applyAlignment="1">
      <alignment horizontal="center" vertical="center" wrapText="1"/>
    </xf>
    <xf numFmtId="168" fontId="106" fillId="38" borderId="184" xfId="0" applyNumberFormat="1" applyFont="1" applyFill="1" applyBorder="1" applyAlignment="1">
      <alignment horizontal="center" vertical="center" wrapText="1"/>
    </xf>
    <xf numFmtId="0" fontId="105" fillId="26" borderId="8" xfId="0" applyFont="1" applyFill="1" applyBorder="1" applyAlignment="1" applyProtection="1">
      <alignment horizontal="center" vertical="center" wrapText="1"/>
      <protection hidden="1"/>
    </xf>
    <xf numFmtId="0" fontId="105" fillId="26" borderId="0" xfId="0" applyFont="1" applyFill="1" applyAlignment="1" applyProtection="1">
      <alignment horizontal="center" vertical="center" wrapText="1"/>
      <protection hidden="1"/>
    </xf>
    <xf numFmtId="0" fontId="104" fillId="9" borderId="57" xfId="0" applyFont="1" applyFill="1" applyBorder="1" applyAlignment="1" applyProtection="1">
      <alignment horizontal="center" vertical="center" wrapText="1"/>
      <protection hidden="1"/>
    </xf>
    <xf numFmtId="20" fontId="24" fillId="31" borderId="107" xfId="0" applyNumberFormat="1" applyFont="1" applyFill="1" applyBorder="1" applyAlignment="1">
      <alignment horizontal="center" vertical="center" wrapText="1"/>
    </xf>
    <xf numFmtId="20" fontId="24" fillId="31" borderId="57" xfId="0" applyNumberFormat="1" applyFont="1" applyFill="1" applyBorder="1" applyAlignment="1">
      <alignment horizontal="center" vertical="center" wrapText="1"/>
    </xf>
    <xf numFmtId="0" fontId="103" fillId="37" borderId="190" xfId="0" applyFont="1" applyFill="1" applyBorder="1" applyAlignment="1">
      <alignment horizontal="center" vertical="center" wrapText="1"/>
    </xf>
    <xf numFmtId="0" fontId="103" fillId="37" borderId="191" xfId="0" applyFont="1" applyFill="1" applyBorder="1" applyAlignment="1">
      <alignment horizontal="center" vertical="center" wrapText="1"/>
    </xf>
    <xf numFmtId="0" fontId="103" fillId="37" borderId="192" xfId="0" applyFont="1" applyFill="1" applyBorder="1" applyAlignment="1">
      <alignment horizontal="center" vertical="center" wrapText="1"/>
    </xf>
    <xf numFmtId="0" fontId="101" fillId="11" borderId="0" xfId="0" applyFont="1" applyFill="1" applyAlignment="1">
      <alignment horizontal="center" vertical="center" wrapText="1"/>
    </xf>
    <xf numFmtId="0" fontId="24" fillId="4" borderId="152" xfId="0" applyFont="1" applyFill="1" applyBorder="1" applyAlignment="1" applyProtection="1">
      <alignment horizontal="center" vertical="center" wrapText="1"/>
      <protection hidden="1"/>
    </xf>
    <xf numFmtId="0" fontId="24" fillId="4" borderId="57" xfId="0" applyFont="1" applyFill="1" applyBorder="1" applyAlignment="1" applyProtection="1">
      <alignment horizontal="center" vertical="center" wrapText="1"/>
      <protection hidden="1"/>
    </xf>
    <xf numFmtId="0" fontId="24" fillId="4" borderId="152" xfId="0" applyFont="1" applyFill="1" applyBorder="1" applyAlignment="1">
      <alignment horizontal="center" vertical="center" wrapText="1"/>
    </xf>
    <xf numFmtId="0" fontId="24" fillId="26" borderId="188" xfId="0" applyFont="1" applyFill="1" applyBorder="1" applyAlignment="1" applyProtection="1">
      <alignment horizontal="center" vertical="center" wrapText="1"/>
      <protection hidden="1"/>
    </xf>
    <xf numFmtId="0" fontId="24" fillId="26" borderId="207" xfId="0" applyFont="1" applyFill="1" applyBorder="1" applyAlignment="1" applyProtection="1">
      <alignment horizontal="center" vertical="center" wrapText="1"/>
      <protection hidden="1"/>
    </xf>
    <xf numFmtId="0" fontId="72" fillId="4" borderId="107" xfId="0" applyFont="1" applyFill="1" applyBorder="1" applyAlignment="1">
      <alignment horizontal="center" vertical="center" wrapText="1"/>
    </xf>
    <xf numFmtId="0" fontId="72" fillId="4" borderId="57" xfId="0" applyFont="1" applyFill="1" applyBorder="1" applyAlignment="1">
      <alignment horizontal="center" vertical="center" wrapText="1"/>
    </xf>
    <xf numFmtId="9" fontId="81" fillId="4" borderId="140" xfId="1" applyFont="1" applyFill="1" applyBorder="1" applyAlignment="1" applyProtection="1">
      <alignment horizontal="center" vertical="center"/>
      <protection hidden="1"/>
    </xf>
    <xf numFmtId="9" fontId="81" fillId="4" borderId="198" xfId="1" applyFont="1" applyFill="1" applyBorder="1" applyAlignment="1" applyProtection="1">
      <alignment horizontal="center" vertical="center"/>
      <protection hidden="1"/>
    </xf>
    <xf numFmtId="9" fontId="81" fillId="4" borderId="149" xfId="1" applyFont="1" applyFill="1" applyBorder="1" applyAlignment="1" applyProtection="1">
      <alignment horizontal="center" vertical="center"/>
      <protection hidden="1"/>
    </xf>
    <xf numFmtId="0" fontId="81" fillId="4" borderId="140" xfId="0" applyFont="1" applyFill="1" applyBorder="1" applyAlignment="1" applyProtection="1">
      <alignment horizontal="center" vertical="center"/>
      <protection hidden="1"/>
    </xf>
    <xf numFmtId="0" fontId="81" fillId="4" borderId="198" xfId="0" applyFont="1" applyFill="1" applyBorder="1" applyAlignment="1" applyProtection="1">
      <alignment horizontal="center" vertical="center"/>
      <protection hidden="1"/>
    </xf>
    <xf numFmtId="0" fontId="81" fillId="4" borderId="149" xfId="0" applyFont="1" applyFill="1" applyBorder="1" applyAlignment="1" applyProtection="1">
      <alignment horizontal="center" vertical="center"/>
      <protection hidden="1"/>
    </xf>
    <xf numFmtId="0" fontId="103" fillId="37" borderId="193" xfId="0" applyFont="1" applyFill="1" applyBorder="1" applyAlignment="1">
      <alignment horizontal="center" vertical="center" wrapText="1"/>
    </xf>
    <xf numFmtId="0" fontId="103" fillId="37" borderId="0" xfId="0" applyFont="1" applyFill="1" applyAlignment="1">
      <alignment horizontal="center" vertical="center" wrapText="1"/>
    </xf>
    <xf numFmtId="0" fontId="103" fillId="37" borderId="194" xfId="0" applyFont="1" applyFill="1" applyBorder="1" applyAlignment="1">
      <alignment horizontal="center" vertical="center" wrapText="1"/>
    </xf>
    <xf numFmtId="168" fontId="106" fillId="39" borderId="100" xfId="0" applyNumberFormat="1" applyFont="1" applyFill="1" applyBorder="1" applyAlignment="1">
      <alignment horizontal="center" vertical="center" wrapText="1"/>
    </xf>
    <xf numFmtId="168" fontId="106" fillId="39" borderId="101" xfId="0" applyNumberFormat="1" applyFont="1" applyFill="1" applyBorder="1" applyAlignment="1">
      <alignment horizontal="center" vertical="center" wrapText="1"/>
    </xf>
    <xf numFmtId="168" fontId="106" fillId="39" borderId="184" xfId="0" applyNumberFormat="1" applyFont="1" applyFill="1" applyBorder="1" applyAlignment="1">
      <alignment horizontal="center" vertical="center" wrapText="1"/>
    </xf>
    <xf numFmtId="0" fontId="104" fillId="26" borderId="107" xfId="0" applyFont="1" applyFill="1" applyBorder="1" applyAlignment="1" applyProtection="1">
      <alignment horizontal="center" vertical="center" wrapText="1"/>
      <protection hidden="1"/>
    </xf>
    <xf numFmtId="0" fontId="113" fillId="9" borderId="57" xfId="0" applyFont="1" applyFill="1" applyBorder="1" applyAlignment="1" applyProtection="1">
      <alignment horizontal="center" vertical="center"/>
      <protection hidden="1"/>
    </xf>
    <xf numFmtId="0" fontId="104" fillId="9" borderId="108" xfId="0" applyFont="1" applyFill="1" applyBorder="1" applyAlignment="1" applyProtection="1">
      <alignment horizontal="center" vertical="center" wrapText="1"/>
      <protection hidden="1"/>
    </xf>
    <xf numFmtId="0" fontId="24" fillId="4" borderId="225" xfId="0" applyFont="1" applyFill="1" applyBorder="1" applyAlignment="1">
      <alignment horizontal="center" vertical="center" wrapText="1"/>
    </xf>
    <xf numFmtId="0" fontId="24" fillId="4" borderId="226" xfId="0" applyFont="1" applyFill="1" applyBorder="1" applyAlignment="1">
      <alignment horizontal="center" vertical="center" wrapText="1"/>
    </xf>
    <xf numFmtId="168" fontId="106" fillId="38" borderId="202" xfId="0" applyNumberFormat="1" applyFont="1" applyFill="1" applyBorder="1" applyAlignment="1">
      <alignment horizontal="center" vertical="center" wrapText="1"/>
    </xf>
    <xf numFmtId="168" fontId="106" fillId="38" borderId="203" xfId="0" applyNumberFormat="1" applyFont="1" applyFill="1" applyBorder="1" applyAlignment="1">
      <alignment horizontal="center" vertical="center" wrapText="1"/>
    </xf>
    <xf numFmtId="0" fontId="24" fillId="26" borderId="177" xfId="0" applyFont="1" applyFill="1" applyBorder="1" applyAlignment="1" applyProtection="1">
      <alignment horizontal="center" vertical="center" wrapText="1"/>
      <protection hidden="1"/>
    </xf>
    <xf numFmtId="0" fontId="24" fillId="26" borderId="178" xfId="0" applyFont="1" applyFill="1" applyBorder="1" applyAlignment="1" applyProtection="1">
      <alignment horizontal="center" vertical="center" wrapText="1"/>
      <protection hidden="1"/>
    </xf>
    <xf numFmtId="9" fontId="82" fillId="9" borderId="140" xfId="1" applyFont="1" applyFill="1" applyBorder="1" applyAlignment="1" applyProtection="1">
      <alignment horizontal="center" vertical="center" wrapText="1"/>
      <protection hidden="1"/>
    </xf>
    <xf numFmtId="9" fontId="125" fillId="9" borderId="149" xfId="1" applyFont="1" applyFill="1" applyBorder="1" applyAlignment="1" applyProtection="1">
      <alignment horizontal="center" vertical="center" wrapText="1"/>
      <protection hidden="1"/>
    </xf>
    <xf numFmtId="0" fontId="103" fillId="37" borderId="210" xfId="0" applyFont="1" applyFill="1" applyBorder="1" applyAlignment="1">
      <alignment horizontal="center" vertical="center" wrapText="1"/>
    </xf>
    <xf numFmtId="0" fontId="103" fillId="37" borderId="211" xfId="0" applyFont="1" applyFill="1" applyBorder="1" applyAlignment="1">
      <alignment horizontal="center" vertical="center" wrapText="1"/>
    </xf>
    <xf numFmtId="0" fontId="82" fillId="9" borderId="139" xfId="0" applyFont="1" applyFill="1" applyBorder="1" applyAlignment="1" applyProtection="1">
      <alignment horizontal="center" vertical="center" wrapText="1"/>
      <protection hidden="1"/>
    </xf>
    <xf numFmtId="0" fontId="125" fillId="9" borderId="204" xfId="0" applyFont="1" applyFill="1" applyBorder="1" applyAlignment="1" applyProtection="1">
      <alignment horizontal="center" vertical="center" wrapText="1"/>
      <protection hidden="1"/>
    </xf>
    <xf numFmtId="0" fontId="79" fillId="9" borderId="140" xfId="0" applyFont="1" applyFill="1" applyBorder="1" applyAlignment="1" applyProtection="1">
      <alignment horizontal="center" vertical="center" wrapText="1"/>
      <protection hidden="1"/>
    </xf>
    <xf numFmtId="0" fontId="87" fillId="9" borderId="149" xfId="0" applyFont="1" applyFill="1" applyBorder="1" applyAlignment="1" applyProtection="1">
      <alignment horizontal="center" vertical="center" wrapText="1"/>
      <protection hidden="1"/>
    </xf>
    <xf numFmtId="0" fontId="72" fillId="4" borderId="230" xfId="0" applyFont="1" applyFill="1" applyBorder="1" applyAlignment="1">
      <alignment horizontal="center" vertical="center" wrapText="1"/>
    </xf>
    <xf numFmtId="0" fontId="72" fillId="4" borderId="220" xfId="0" applyFont="1" applyFill="1" applyBorder="1" applyAlignment="1">
      <alignment horizontal="center" vertical="center" wrapText="1"/>
    </xf>
    <xf numFmtId="0" fontId="72" fillId="0" borderId="0" xfId="0" applyFont="1" applyAlignment="1">
      <alignment horizontal="center" vertical="center" wrapText="1"/>
    </xf>
    <xf numFmtId="0" fontId="24" fillId="4" borderId="219" xfId="0" applyFont="1" applyFill="1" applyBorder="1" applyAlignment="1" applyProtection="1">
      <alignment horizontal="center" vertical="center" wrapText="1"/>
      <protection hidden="1"/>
    </xf>
    <xf numFmtId="0" fontId="24" fillId="4" borderId="220" xfId="0" applyFont="1" applyFill="1" applyBorder="1" applyAlignment="1" applyProtection="1">
      <alignment horizontal="center" vertical="center" wrapText="1"/>
      <protection hidden="1"/>
    </xf>
    <xf numFmtId="0" fontId="74" fillId="4" borderId="136" xfId="0" applyFont="1" applyFill="1" applyBorder="1" applyAlignment="1">
      <alignment horizontal="center" vertical="center" wrapText="1"/>
    </xf>
    <xf numFmtId="0" fontId="74" fillId="4" borderId="119" xfId="0" applyFont="1" applyFill="1" applyBorder="1" applyAlignment="1">
      <alignment horizontal="center" vertical="center" wrapText="1"/>
    </xf>
    <xf numFmtId="0" fontId="74" fillId="4" borderId="57" xfId="0" applyFont="1" applyFill="1" applyBorder="1" applyAlignment="1">
      <alignment horizontal="center" vertical="center" wrapText="1"/>
    </xf>
    <xf numFmtId="0" fontId="72" fillId="33" borderId="105" xfId="0" applyFont="1" applyFill="1" applyBorder="1" applyAlignment="1">
      <alignment horizontal="center" vertical="center" wrapText="1"/>
    </xf>
    <xf numFmtId="0" fontId="72" fillId="33" borderId="0" xfId="0" applyFont="1" applyFill="1" applyAlignment="1">
      <alignment horizontal="center" vertical="center" wrapText="1"/>
    </xf>
    <xf numFmtId="0" fontId="72" fillId="33" borderId="106" xfId="0" applyFont="1" applyFill="1" applyBorder="1" applyAlignment="1">
      <alignment horizontal="center" vertical="center" wrapText="1"/>
    </xf>
    <xf numFmtId="0" fontId="74" fillId="4" borderId="142" xfId="0" applyFont="1" applyFill="1" applyBorder="1" applyAlignment="1">
      <alignment horizontal="center" vertical="center" wrapText="1"/>
    </xf>
    <xf numFmtId="0" fontId="74" fillId="4" borderId="143" xfId="0" applyFont="1" applyFill="1" applyBorder="1" applyAlignment="1">
      <alignment horizontal="center" vertical="center" wrapText="1"/>
    </xf>
    <xf numFmtId="0" fontId="24" fillId="6" borderId="0" xfId="0" applyFont="1" applyFill="1" applyAlignment="1">
      <alignment horizontal="center" vertical="center" wrapText="1"/>
    </xf>
    <xf numFmtId="0" fontId="0" fillId="6" borderId="0" xfId="0" applyFill="1" applyAlignment="1">
      <alignment horizontal="center" vertical="center" wrapText="1"/>
    </xf>
    <xf numFmtId="0" fontId="16" fillId="6" borderId="0" xfId="0" applyFont="1" applyFill="1" applyAlignment="1">
      <alignment horizontal="center" vertical="center" wrapText="1"/>
    </xf>
    <xf numFmtId="0" fontId="19" fillId="6" borderId="0" xfId="0" applyFont="1" applyFill="1" applyAlignment="1">
      <alignment horizontal="center" vertical="center" wrapText="1"/>
    </xf>
    <xf numFmtId="0" fontId="73" fillId="8" borderId="119" xfId="0" applyFont="1" applyFill="1" applyBorder="1" applyAlignment="1">
      <alignment horizontal="center" vertical="center" wrapText="1"/>
    </xf>
    <xf numFmtId="0" fontId="73" fillId="8" borderId="57" xfId="0" applyFont="1" applyFill="1" applyBorder="1" applyAlignment="1">
      <alignment horizontal="center" vertical="center" wrapText="1"/>
    </xf>
    <xf numFmtId="0" fontId="73" fillId="8" borderId="110" xfId="0" applyFont="1" applyFill="1" applyBorder="1" applyAlignment="1">
      <alignment horizontal="center" vertical="center" wrapText="1"/>
    </xf>
    <xf numFmtId="0" fontId="25" fillId="2" borderId="102" xfId="0" applyFont="1" applyFill="1" applyBorder="1" applyAlignment="1">
      <alignment horizontal="right" vertical="center" wrapText="1"/>
    </xf>
    <xf numFmtId="0" fontId="25" fillId="2" borderId="103" xfId="0" applyFont="1" applyFill="1" applyBorder="1" applyAlignment="1">
      <alignment horizontal="right" vertical="center" wrapText="1"/>
    </xf>
    <xf numFmtId="0" fontId="25" fillId="2" borderId="132" xfId="0" applyFont="1" applyFill="1" applyBorder="1" applyAlignment="1">
      <alignment horizontal="right" vertical="center" wrapText="1"/>
    </xf>
    <xf numFmtId="0" fontId="19" fillId="26" borderId="97" xfId="0" applyFont="1" applyFill="1" applyBorder="1" applyAlignment="1">
      <alignment horizontal="center" vertical="center" wrapText="1"/>
    </xf>
    <xf numFmtId="0" fontId="19" fillId="26" borderId="98" xfId="0" applyFont="1" applyFill="1" applyBorder="1" applyAlignment="1">
      <alignment horizontal="center" vertical="center" wrapText="1"/>
    </xf>
    <xf numFmtId="0" fontId="19" fillId="26" borderId="99" xfId="0" applyFont="1" applyFill="1" applyBorder="1" applyAlignment="1">
      <alignment horizontal="center" vertical="center" wrapText="1"/>
    </xf>
    <xf numFmtId="0" fontId="74" fillId="4" borderId="134" xfId="0" applyFont="1" applyFill="1" applyBorder="1" applyAlignment="1">
      <alignment horizontal="center" vertical="center" wrapText="1"/>
    </xf>
    <xf numFmtId="0" fontId="73" fillId="8" borderId="117" xfId="0" applyFont="1" applyFill="1" applyBorder="1" applyAlignment="1">
      <alignment horizontal="center" vertical="center" wrapText="1"/>
    </xf>
    <xf numFmtId="0" fontId="73" fillId="8" borderId="130" xfId="0" applyFont="1" applyFill="1" applyBorder="1" applyAlignment="1">
      <alignment horizontal="center" vertical="center" wrapText="1"/>
    </xf>
    <xf numFmtId="0" fontId="73" fillId="8" borderId="115" xfId="0" applyFont="1" applyFill="1" applyBorder="1" applyAlignment="1">
      <alignment horizontal="center" vertical="center" wrapText="1"/>
    </xf>
    <xf numFmtId="0" fontId="73" fillId="8" borderId="124" xfId="0" applyFont="1" applyFill="1" applyBorder="1" applyAlignment="1">
      <alignment horizontal="center" vertical="center" wrapText="1"/>
    </xf>
    <xf numFmtId="0" fontId="73" fillId="8" borderId="118" xfId="0" applyFont="1" applyFill="1" applyBorder="1" applyAlignment="1">
      <alignment horizontal="center" vertical="center" wrapText="1"/>
    </xf>
    <xf numFmtId="0" fontId="73" fillId="8" borderId="131" xfId="0" applyFont="1" applyFill="1" applyBorder="1" applyAlignment="1">
      <alignment horizontal="center" vertical="center" wrapText="1"/>
    </xf>
    <xf numFmtId="9" fontId="74" fillId="8" borderId="137" xfId="1" applyFont="1" applyFill="1" applyBorder="1" applyAlignment="1">
      <alignment horizontal="center" vertical="center" wrapText="1"/>
    </xf>
    <xf numFmtId="9" fontId="74" fillId="8" borderId="119" xfId="1" applyFont="1" applyFill="1" applyBorder="1" applyAlignment="1">
      <alignment horizontal="center" vertical="center" wrapText="1"/>
    </xf>
    <xf numFmtId="0" fontId="52" fillId="30" borderId="105" xfId="0" applyFont="1" applyFill="1" applyBorder="1" applyAlignment="1" applyProtection="1">
      <alignment horizontal="center" vertical="center" wrapText="1"/>
      <protection locked="0"/>
    </xf>
    <xf numFmtId="0" fontId="52" fillId="30" borderId="200" xfId="0" applyFont="1" applyFill="1" applyBorder="1" applyAlignment="1" applyProtection="1">
      <alignment horizontal="center" vertical="center" wrapText="1"/>
      <protection locked="0"/>
    </xf>
    <xf numFmtId="0" fontId="26" fillId="0" borderId="105" xfId="0" applyFont="1" applyBorder="1" applyAlignment="1">
      <alignment horizontal="center" vertical="center" wrapText="1"/>
    </xf>
    <xf numFmtId="0" fontId="26" fillId="0" borderId="200" xfId="0" applyFont="1" applyBorder="1" applyAlignment="1">
      <alignment horizontal="center" vertical="center" wrapText="1"/>
    </xf>
    <xf numFmtId="0" fontId="70" fillId="0" borderId="102" xfId="0" applyFont="1" applyBorder="1" applyAlignment="1">
      <alignment horizontal="center" vertical="center" wrapText="1"/>
    </xf>
    <xf numFmtId="0" fontId="70" fillId="0" borderId="201" xfId="0" applyFont="1" applyBorder="1" applyAlignment="1">
      <alignment horizontal="center" vertical="center" wrapText="1"/>
    </xf>
    <xf numFmtId="0" fontId="66" fillId="0" borderId="0" xfId="0" applyFont="1" applyAlignment="1">
      <alignment horizontal="center" vertical="center" wrapText="1"/>
    </xf>
    <xf numFmtId="0" fontId="15" fillId="12" borderId="10" xfId="0" applyFont="1" applyFill="1" applyBorder="1" applyAlignment="1">
      <alignment horizontal="left" vertical="center" wrapText="1"/>
    </xf>
    <xf numFmtId="0" fontId="15" fillId="12" borderId="188" xfId="0" applyFont="1" applyFill="1" applyBorder="1" applyAlignment="1">
      <alignment horizontal="left" vertical="center" wrapText="1"/>
    </xf>
    <xf numFmtId="0" fontId="15" fillId="12" borderId="215" xfId="0" applyFont="1" applyFill="1" applyBorder="1" applyAlignment="1">
      <alignment horizontal="left" vertical="center" wrapText="1"/>
    </xf>
    <xf numFmtId="0" fontId="15" fillId="12" borderId="6" xfId="0" applyFont="1" applyFill="1" applyBorder="1" applyAlignment="1">
      <alignment horizontal="left" vertical="center" wrapText="1"/>
    </xf>
    <xf numFmtId="0" fontId="15" fillId="12" borderId="314" xfId="0" applyFont="1" applyFill="1" applyBorder="1" applyAlignment="1">
      <alignment horizontal="left" vertical="center" wrapText="1"/>
    </xf>
    <xf numFmtId="0" fontId="15" fillId="12" borderId="315" xfId="0" applyFont="1" applyFill="1" applyBorder="1" applyAlignment="1">
      <alignment horizontal="left" vertical="center" wrapText="1"/>
    </xf>
    <xf numFmtId="0" fontId="67" fillId="0" borderId="0" xfId="0" applyFont="1" applyAlignment="1">
      <alignment horizontal="left" vertical="center" wrapText="1"/>
    </xf>
    <xf numFmtId="0" fontId="22" fillId="0" borderId="100" xfId="0" applyFont="1" applyBorder="1" applyAlignment="1">
      <alignment horizontal="center" vertical="center" wrapText="1"/>
    </xf>
    <xf numFmtId="0" fontId="22" fillId="0" borderId="199" xfId="0" applyFont="1" applyBorder="1" applyAlignment="1">
      <alignment horizontal="center" vertical="center" wrapText="1"/>
    </xf>
    <xf numFmtId="0" fontId="19" fillId="26" borderId="150" xfId="0" applyFont="1" applyFill="1" applyBorder="1" applyAlignment="1">
      <alignment horizontal="center" vertical="center" wrapText="1"/>
    </xf>
    <xf numFmtId="0" fontId="19" fillId="26" borderId="151" xfId="0" applyFont="1" applyFill="1" applyBorder="1" applyAlignment="1">
      <alignment horizontal="center" vertical="center" wrapText="1"/>
    </xf>
    <xf numFmtId="0" fontId="25" fillId="6" borderId="0" xfId="0" applyFont="1" applyFill="1" applyAlignment="1">
      <alignment horizontal="right" vertical="center" wrapText="1"/>
    </xf>
    <xf numFmtId="0" fontId="24" fillId="9" borderId="105" xfId="0" applyFont="1" applyFill="1" applyBorder="1" applyAlignment="1">
      <alignment horizontal="center" vertical="center" wrapText="1"/>
    </xf>
    <xf numFmtId="0" fontId="24" fillId="9" borderId="0" xfId="0" applyFont="1" applyFill="1" applyAlignment="1">
      <alignment horizontal="center" vertical="center" wrapText="1"/>
    </xf>
    <xf numFmtId="0" fontId="24" fillId="9" borderId="106" xfId="0" applyFont="1" applyFill="1" applyBorder="1" applyAlignment="1">
      <alignment horizontal="center" vertical="center" wrapText="1"/>
    </xf>
    <xf numFmtId="0" fontId="24" fillId="9" borderId="145" xfId="0" applyFont="1" applyFill="1" applyBorder="1" applyAlignment="1">
      <alignment horizontal="center" vertical="center" wrapText="1"/>
    </xf>
    <xf numFmtId="0" fontId="24" fillId="9" borderId="56" xfId="0" applyFont="1" applyFill="1" applyBorder="1" applyAlignment="1">
      <alignment horizontal="center" vertical="center" wrapText="1"/>
    </xf>
    <xf numFmtId="0" fontId="24" fillId="9" borderId="144" xfId="0" applyFont="1" applyFill="1" applyBorder="1" applyAlignment="1">
      <alignment horizontal="center" vertical="center" wrapText="1"/>
    </xf>
    <xf numFmtId="0" fontId="24" fillId="9" borderId="10" xfId="0" applyFont="1" applyFill="1" applyBorder="1" applyAlignment="1">
      <alignment horizontal="center" vertical="center" wrapText="1"/>
    </xf>
    <xf numFmtId="0" fontId="24" fillId="9" borderId="188" xfId="0" applyFont="1" applyFill="1" applyBorder="1" applyAlignment="1">
      <alignment horizontal="center" vertical="center" wrapText="1"/>
    </xf>
    <xf numFmtId="0" fontId="24" fillId="9" borderId="215" xfId="0" applyFont="1" applyFill="1" applyBorder="1" applyAlignment="1">
      <alignment horizontal="center" vertical="center" wrapText="1"/>
    </xf>
    <xf numFmtId="0" fontId="24" fillId="31" borderId="100" xfId="0" applyFont="1" applyFill="1" applyBorder="1" applyAlignment="1">
      <alignment horizontal="center" vertical="center" wrapText="1"/>
    </xf>
    <xf numFmtId="0" fontId="74" fillId="4" borderId="110" xfId="0" applyFont="1" applyFill="1" applyBorder="1" applyAlignment="1">
      <alignment horizontal="center" vertical="center" wrapText="1"/>
    </xf>
    <xf numFmtId="0" fontId="74" fillId="4" borderId="2" xfId="0" applyFont="1" applyFill="1" applyBorder="1" applyAlignment="1">
      <alignment horizontal="center" vertical="center" wrapText="1"/>
    </xf>
    <xf numFmtId="0" fontId="1" fillId="12" borderId="0" xfId="0" applyFont="1" applyFill="1" applyAlignment="1">
      <alignment horizontal="left" vertical="top" wrapText="1"/>
    </xf>
    <xf numFmtId="0" fontId="1" fillId="0" borderId="0" xfId="0" applyFont="1" applyAlignment="1">
      <alignment vertical="center"/>
    </xf>
  </cellXfs>
  <cellStyles count="103">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Normal_demande de subvention FSE yc forfaitisation des coûts indirects sans protection" xfId="102" xr:uid="{07C8730F-99AD-4E09-9EA5-701A4931A3D3}"/>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64">
    <dxf>
      <font>
        <b/>
        <i val="0"/>
        <color auto="1"/>
      </font>
      <fill>
        <patternFill>
          <bgColor rgb="FF00B050"/>
        </patternFill>
      </fill>
    </dxf>
    <dxf>
      <font>
        <b/>
        <i val="0"/>
        <color theme="0"/>
      </font>
      <fill>
        <patternFill>
          <bgColor rgb="FFC00000"/>
        </patternFill>
      </fill>
    </dxf>
    <dxf>
      <font>
        <b/>
        <i val="0"/>
        <color auto="1"/>
      </font>
      <fill>
        <patternFill>
          <bgColor rgb="FF00B050"/>
        </patternFill>
      </fill>
    </dxf>
    <dxf>
      <font>
        <b/>
        <i val="0"/>
        <color theme="0"/>
      </font>
      <fill>
        <patternFill>
          <bgColor rgb="FFC00000"/>
        </patternFill>
      </fill>
    </dxf>
    <dxf>
      <font>
        <b/>
        <i val="0"/>
        <color auto="1"/>
      </font>
      <fill>
        <patternFill>
          <bgColor rgb="FF00B050"/>
        </patternFill>
      </fill>
    </dxf>
    <dxf>
      <font>
        <b/>
        <i val="0"/>
        <color theme="0"/>
      </font>
      <fill>
        <patternFill>
          <bgColor rgb="FFC00000"/>
        </patternFill>
      </fill>
    </dxf>
    <dxf>
      <font>
        <color theme="0"/>
      </font>
      <fill>
        <patternFill>
          <bgColor rgb="FFC00000"/>
        </patternFill>
      </fill>
    </dxf>
    <dxf>
      <fill>
        <patternFill>
          <bgColor rgb="FF00B050"/>
        </patternFill>
      </fill>
    </dxf>
    <dxf>
      <font>
        <color theme="0"/>
      </font>
      <fill>
        <patternFill>
          <bgColor rgb="FFC00000"/>
        </patternFill>
      </fill>
    </dxf>
    <dxf>
      <font>
        <b/>
        <i val="0"/>
        <color auto="1"/>
      </font>
      <fill>
        <patternFill>
          <bgColor rgb="FF00B050"/>
        </patternFill>
      </fill>
    </dxf>
    <dxf>
      <font>
        <color theme="0"/>
      </font>
      <fill>
        <patternFill>
          <bgColor rgb="FFC00000"/>
        </patternFill>
      </fill>
    </dxf>
    <dxf>
      <font>
        <b/>
        <i val="0"/>
        <color auto="1"/>
      </font>
      <fill>
        <patternFill>
          <bgColor rgb="FF00B050"/>
        </patternFill>
      </fill>
    </dxf>
    <dxf>
      <font>
        <color theme="0"/>
      </font>
      <fill>
        <patternFill>
          <bgColor rgb="FFC00000"/>
        </patternFill>
      </fill>
    </dxf>
    <dxf>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border diagonalUp="0" diagonalDown="0" outline="0">
        <left style="medium">
          <color indexed="64"/>
        </left>
        <right style="medium">
          <color indexed="64"/>
        </right>
        <top style="medium">
          <color indexed="64"/>
        </top>
        <bottom style="medium">
          <color indexed="64"/>
        </bottom>
      </border>
    </dxf>
    <dxf>
      <numFmt numFmtId="173" formatCode="dd/mm/yyyy"/>
      <border diagonalUp="0" diagonalDown="0" outline="0">
        <left style="medium">
          <color indexed="64"/>
        </left>
        <right style="medium">
          <color indexed="64"/>
        </right>
        <top style="medium">
          <color indexed="64"/>
        </top>
        <bottom style="medium">
          <color indexed="64"/>
        </bottom>
      </border>
    </dxf>
    <dxf>
      <border diagonalUp="0" diagonalDown="0" outline="0">
        <left style="medium">
          <color indexed="64"/>
        </left>
        <right style="thin">
          <color indexed="64"/>
        </right>
        <top style="medium">
          <color indexed="64"/>
        </top>
        <bottom style="medium">
          <color indexed="64"/>
        </bottom>
      </border>
    </dxf>
    <dxf>
      <numFmt numFmtId="0" formatCode="General"/>
      <border diagonalUp="0" diagonalDown="0" outline="0">
        <left/>
        <right style="medium">
          <color indexed="64"/>
        </right>
        <top style="medium">
          <color indexed="64"/>
        </top>
        <bottom style="medium">
          <color indexed="64"/>
        </bottom>
      </border>
    </dxf>
    <dxf>
      <border>
        <top style="medium">
          <color indexed="64"/>
        </top>
      </border>
    </dxf>
    <dxf>
      <border outline="0">
        <bottom style="thin">
          <color indexed="64"/>
        </bottom>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9" tint="0.79998168889431442"/>
        </patternFill>
      </fill>
      <alignment horizontal="center"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border diagonalUp="0" diagonalDown="0" outline="0">
        <left style="medium">
          <color indexed="64"/>
        </left>
        <right style="medium">
          <color indexed="64"/>
        </right>
        <top style="medium">
          <color indexed="64"/>
        </top>
        <bottom style="medium">
          <color indexed="64"/>
        </bottom>
      </border>
    </dxf>
    <dxf>
      <numFmt numFmtId="173" formatCode="dd/mm/yyyy"/>
      <border diagonalUp="0" diagonalDown="0" outline="0">
        <left style="medium">
          <color indexed="64"/>
        </left>
        <right style="medium">
          <color indexed="64"/>
        </right>
        <top style="medium">
          <color indexed="64"/>
        </top>
        <bottom style="medium">
          <color indexed="64"/>
        </bottom>
      </border>
    </dxf>
    <dxf>
      <numFmt numFmtId="0" formatCode="General"/>
      <border diagonalUp="0" diagonalDown="0" outline="0">
        <left style="medium">
          <color indexed="64"/>
        </left>
        <right style="thin">
          <color indexed="64"/>
        </right>
        <top style="medium">
          <color indexed="64"/>
        </top>
        <bottom style="medium">
          <color indexed="64"/>
        </bottom>
      </border>
    </dxf>
    <dxf>
      <numFmt numFmtId="0" formatCode="General"/>
      <border diagonalUp="0" diagonalDown="0" outline="0">
        <left/>
        <right style="thin">
          <color indexed="64"/>
        </right>
        <top style="medium">
          <color indexed="64"/>
        </top>
        <bottom style="medium">
          <color indexed="64"/>
        </bottom>
      </border>
    </dxf>
    <dxf>
      <border>
        <top style="medium">
          <color indexed="64"/>
        </top>
      </border>
    </dxf>
    <dxf>
      <border outline="0">
        <bottom style="thin">
          <color indexed="64"/>
        </bottom>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6" tint="0.79998168889431442"/>
        </patternFill>
      </fill>
      <alignment horizontal="center" vertical="center" textRotation="0" wrapText="1" indent="0" justifyLastLine="0" shrinkToFit="0" readingOrder="0"/>
    </dxf>
    <dxf>
      <font>
        <b/>
        <i val="0"/>
      </font>
      <fill>
        <patternFill>
          <bgColor theme="6"/>
        </patternFill>
      </fill>
    </dxf>
    <dxf>
      <font>
        <b/>
        <i val="0"/>
        <color theme="0"/>
      </font>
      <fill>
        <patternFill>
          <bgColor rgb="FFFF0000"/>
        </patternFill>
      </fill>
    </dxf>
    <dxf>
      <font>
        <b/>
        <i val="0"/>
      </font>
      <fill>
        <patternFill>
          <bgColor rgb="FF00B05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color theme="0"/>
      </font>
      <fill>
        <patternFill>
          <fgColor auto="1"/>
          <bgColor rgb="FFFF0000"/>
        </patternFill>
      </fill>
    </dxf>
    <dxf>
      <font>
        <color rgb="FFFF0000"/>
      </font>
      <fill>
        <patternFill>
          <bgColor rgb="FFFFFF00"/>
        </patternFill>
      </fill>
    </dxf>
    <dxf>
      <font>
        <color theme="0"/>
      </font>
      <fill>
        <patternFill>
          <fgColor auto="1"/>
          <bgColor rgb="FFFF00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b/>
        <i val="0"/>
        <strike val="0"/>
        <color rgb="FFC00000"/>
      </font>
      <fill>
        <patternFill patternType="solid">
          <fgColor rgb="FFFFFF00"/>
          <bgColor rgb="FFFFFF00"/>
        </patternFill>
      </fill>
      <border>
        <vertical/>
        <horizontal/>
      </border>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b/>
        <i val="0"/>
        <strike val="0"/>
        <color rgb="FFC00000"/>
      </font>
      <fill>
        <patternFill patternType="solid">
          <fgColor rgb="FFFFFF00"/>
          <bgColor rgb="FFFFFF00"/>
        </patternFill>
      </fill>
      <border>
        <vertical/>
        <horizontal/>
      </border>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s>
  <tableStyles count="0" defaultTableStyle="TableStyleMedium2" defaultPivotStyle="PivotStyleLight16"/>
  <colors>
    <mruColors>
      <color rgb="FFFFFF00"/>
      <color rgb="FFFFE699"/>
      <color rgb="FFF2D8CA"/>
      <color rgb="FFF5903D"/>
      <color rgb="FFEAC0A9"/>
      <color rgb="FFDB9065"/>
      <color rgb="FFDE9A73"/>
      <color rgb="FFE4AB8C"/>
      <color rgb="FFE1A380"/>
      <color rgb="FFE6B3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svg"/><Relationship Id="rId7" Type="http://schemas.openxmlformats.org/officeDocument/2006/relationships/image" Target="../media/image9.svg"/><Relationship Id="rId2" Type="http://schemas.openxmlformats.org/officeDocument/2006/relationships/image" Target="../media/image4.png"/><Relationship Id="rId1" Type="http://schemas.openxmlformats.org/officeDocument/2006/relationships/image" Target="../media/image1.png"/><Relationship Id="rId6" Type="http://schemas.openxmlformats.org/officeDocument/2006/relationships/image" Target="../media/image8.png"/><Relationship Id="rId5" Type="http://schemas.openxmlformats.org/officeDocument/2006/relationships/image" Target="../media/image7.svg"/><Relationship Id="rId4" Type="http://schemas.openxmlformats.org/officeDocument/2006/relationships/image" Target="../media/image6.png"/><Relationship Id="rId9" Type="http://schemas.openxmlformats.org/officeDocument/2006/relationships/image" Target="../media/image11.sv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160244</xdr:rowOff>
    </xdr:from>
    <xdr:to>
      <xdr:col>2</xdr:col>
      <xdr:colOff>296069</xdr:colOff>
      <xdr:row>7</xdr:row>
      <xdr:rowOff>201951</xdr:rowOff>
    </xdr:to>
    <xdr:pic>
      <xdr:nvPicPr>
        <xdr:cNvPr id="3" name="Image 2">
          <a:extLst>
            <a:ext uri="{FF2B5EF4-FFF2-40B4-BE49-F238E27FC236}">
              <a16:creationId xmlns:a16="http://schemas.microsoft.com/office/drawing/2014/main" id="{EECB5CFE-9E7C-4A52-9241-8E61C1228E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307" y="160244"/>
          <a:ext cx="1889545" cy="12868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44451</xdr:colOff>
      <xdr:row>0</xdr:row>
      <xdr:rowOff>12700</xdr:rowOff>
    </xdr:from>
    <xdr:to>
      <xdr:col>0</xdr:col>
      <xdr:colOff>625679</xdr:colOff>
      <xdr:row>0</xdr:row>
      <xdr:rowOff>527050</xdr:rowOff>
    </xdr:to>
    <xdr:pic>
      <xdr:nvPicPr>
        <xdr:cNvPr id="2" name="Image 3">
          <a:extLst>
            <a:ext uri="{FF2B5EF4-FFF2-40B4-BE49-F238E27FC236}">
              <a16:creationId xmlns:a16="http://schemas.microsoft.com/office/drawing/2014/main" id="{DB1204E0-C938-4640-BF03-14408BAFE9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451" y="12700"/>
          <a:ext cx="581228" cy="5143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905087</xdr:colOff>
      <xdr:row>1</xdr:row>
      <xdr:rowOff>2475</xdr:rowOff>
    </xdr:to>
    <xdr:pic>
      <xdr:nvPicPr>
        <xdr:cNvPr id="4" name="Image 3">
          <a:extLst>
            <a:ext uri="{FF2B5EF4-FFF2-40B4-BE49-F238E27FC236}">
              <a16:creationId xmlns:a16="http://schemas.microsoft.com/office/drawing/2014/main" id="{1178668E-7F79-4006-BA0E-D5940311FD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910167" cy="707325"/>
        </a:xfrm>
        <a:prstGeom prst="rect">
          <a:avLst/>
        </a:prstGeom>
      </xdr:spPr>
    </xdr:pic>
    <xdr:clientData/>
  </xdr:twoCellAnchor>
  <xdr:twoCellAnchor editAs="oneCell">
    <xdr:from>
      <xdr:col>6</xdr:col>
      <xdr:colOff>617626</xdr:colOff>
      <xdr:row>14</xdr:row>
      <xdr:rowOff>421306</xdr:rowOff>
    </xdr:from>
    <xdr:to>
      <xdr:col>6</xdr:col>
      <xdr:colOff>1544255</xdr:colOff>
      <xdr:row>14</xdr:row>
      <xdr:rowOff>1323255</xdr:rowOff>
    </xdr:to>
    <xdr:pic>
      <xdr:nvPicPr>
        <xdr:cNvPr id="3" name="Graphique 2" descr="Flèches de chevron avec un remplissage uni">
          <a:extLst>
            <a:ext uri="{FF2B5EF4-FFF2-40B4-BE49-F238E27FC236}">
              <a16:creationId xmlns:a16="http://schemas.microsoft.com/office/drawing/2014/main" id="{D5AF4BF2-2715-ED4C-9C1C-DD1750FD6411}"/>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9630273" y="13831012"/>
          <a:ext cx="940599" cy="90814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2611076</xdr:colOff>
      <xdr:row>0</xdr:row>
      <xdr:rowOff>2134124</xdr:rowOff>
    </xdr:to>
    <xdr:pic>
      <xdr:nvPicPr>
        <xdr:cNvPr id="5" name="Image 4">
          <a:extLst>
            <a:ext uri="{FF2B5EF4-FFF2-40B4-BE49-F238E27FC236}">
              <a16:creationId xmlns:a16="http://schemas.microsoft.com/office/drawing/2014/main" id="{183E5AED-0363-457E-AE8E-9567A691E4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08621" y="0"/>
          <a:ext cx="2627586" cy="2134124"/>
        </a:xfrm>
        <a:prstGeom prst="rect">
          <a:avLst/>
        </a:prstGeom>
      </xdr:spPr>
    </xdr:pic>
    <xdr:clientData/>
  </xdr:twoCellAnchor>
  <xdr:twoCellAnchor editAs="oneCell">
    <xdr:from>
      <xdr:col>0</xdr:col>
      <xdr:colOff>1400176</xdr:colOff>
      <xdr:row>11</xdr:row>
      <xdr:rowOff>665357</xdr:rowOff>
    </xdr:from>
    <xdr:to>
      <xdr:col>1</xdr:col>
      <xdr:colOff>401956</xdr:colOff>
      <xdr:row>12</xdr:row>
      <xdr:rowOff>561986</xdr:rowOff>
    </xdr:to>
    <xdr:pic>
      <xdr:nvPicPr>
        <xdr:cNvPr id="12" name="Graphique 3" descr="Badge 1 avec un remplissage uni">
          <a:extLst>
            <a:ext uri="{FF2B5EF4-FFF2-40B4-BE49-F238E27FC236}">
              <a16:creationId xmlns:a16="http://schemas.microsoft.com/office/drawing/2014/main" id="{503183D0-46ED-F74A-8441-9EB976093B00}"/>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400176" y="16159357"/>
          <a:ext cx="1230630" cy="1335539"/>
        </a:xfrm>
        <a:prstGeom prst="rect">
          <a:avLst/>
        </a:prstGeom>
      </xdr:spPr>
    </xdr:pic>
    <xdr:clientData/>
  </xdr:twoCellAnchor>
  <xdr:twoCellAnchor editAs="oneCell">
    <xdr:from>
      <xdr:col>7</xdr:col>
      <xdr:colOff>1714500</xdr:colOff>
      <xdr:row>11</xdr:row>
      <xdr:rowOff>564947</xdr:rowOff>
    </xdr:from>
    <xdr:to>
      <xdr:col>8</xdr:col>
      <xdr:colOff>380120</xdr:colOff>
      <xdr:row>12</xdr:row>
      <xdr:rowOff>457304</xdr:rowOff>
    </xdr:to>
    <xdr:pic>
      <xdr:nvPicPr>
        <xdr:cNvPr id="4" name="Graphique 7" descr="Badge avec un remplissage uni">
          <a:extLst>
            <a:ext uri="{FF2B5EF4-FFF2-40B4-BE49-F238E27FC236}">
              <a16:creationId xmlns:a16="http://schemas.microsoft.com/office/drawing/2014/main" id="{184A1B0E-6A7F-D643-AA20-B357524457CC}"/>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21717000" y="16058947"/>
          <a:ext cx="1259595" cy="1349682"/>
        </a:xfrm>
        <a:prstGeom prst="rect">
          <a:avLst/>
        </a:prstGeom>
      </xdr:spPr>
    </xdr:pic>
    <xdr:clientData/>
  </xdr:twoCellAnchor>
  <xdr:oneCellAnchor>
    <xdr:from>
      <xdr:col>17</xdr:col>
      <xdr:colOff>1743075</xdr:colOff>
      <xdr:row>11</xdr:row>
      <xdr:rowOff>683875</xdr:rowOff>
    </xdr:from>
    <xdr:ext cx="1295412" cy="1178188"/>
    <xdr:pic>
      <xdr:nvPicPr>
        <xdr:cNvPr id="8" name="Graphique 15" descr="Badge 3 avec un remplissage uni">
          <a:extLst>
            <a:ext uri="{FF2B5EF4-FFF2-40B4-BE49-F238E27FC236}">
              <a16:creationId xmlns:a16="http://schemas.microsoft.com/office/drawing/2014/main" id="{A4E44366-B26A-8B45-9C9B-062A001AF534}"/>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9018825" y="16177875"/>
          <a:ext cx="1295412" cy="1178188"/>
        </a:xfrm>
        <a:prstGeom prst="rect">
          <a:avLst/>
        </a:prstGeom>
      </xdr:spPr>
    </xdr:pic>
    <xdr:clientData/>
  </xdr:oneCellAnchor>
  <xdr:oneCellAnchor>
    <xdr:from>
      <xdr:col>0</xdr:col>
      <xdr:colOff>1941095</xdr:colOff>
      <xdr:row>19</xdr:row>
      <xdr:rowOff>508000</xdr:rowOff>
    </xdr:from>
    <xdr:ext cx="1294144" cy="1331936"/>
    <xdr:pic>
      <xdr:nvPicPr>
        <xdr:cNvPr id="2" name="Graphique 11" descr="Badge 4 avec un remplissage uni">
          <a:extLst>
            <a:ext uri="{FF2B5EF4-FFF2-40B4-BE49-F238E27FC236}">
              <a16:creationId xmlns:a16="http://schemas.microsoft.com/office/drawing/2014/main" id="{E604F86C-DDC5-6A44-BF45-69A5BEACA727}"/>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941095" y="26111200"/>
          <a:ext cx="1294144" cy="1331936"/>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88FB02C7-C261-924D-9F4F-4372A06CA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190500"/>
          <a:ext cx="2671042" cy="195759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941917</xdr:colOff>
      <xdr:row>1</xdr:row>
      <xdr:rowOff>598826</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xdr:rowOff>
    </xdr:from>
    <xdr:to>
      <xdr:col>1</xdr:col>
      <xdr:colOff>332104</xdr:colOff>
      <xdr:row>5</xdr:row>
      <xdr:rowOff>2781</xdr:rowOff>
    </xdr:to>
    <xdr:pic>
      <xdr:nvPicPr>
        <xdr:cNvPr id="2" name="Image 1">
          <a:extLst>
            <a:ext uri="{FF2B5EF4-FFF2-40B4-BE49-F238E27FC236}">
              <a16:creationId xmlns:a16="http://schemas.microsoft.com/office/drawing/2014/main" id="{18C8985F-67E9-46E0-B1E3-C02AB0147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1206499" cy="88754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380999</xdr:colOff>
      <xdr:row>0</xdr:row>
      <xdr:rowOff>888818</xdr:rowOff>
    </xdr:to>
    <xdr:pic>
      <xdr:nvPicPr>
        <xdr:cNvPr id="2" name="Image 1">
          <a:extLst>
            <a:ext uri="{FF2B5EF4-FFF2-40B4-BE49-F238E27FC236}">
              <a16:creationId xmlns:a16="http://schemas.microsoft.com/office/drawing/2014/main" id="{265D2F8C-3737-42B7-921E-4DB706C71D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1152524" cy="88437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619125</xdr:colOff>
      <xdr:row>0</xdr:row>
      <xdr:rowOff>1</xdr:rowOff>
    </xdr:from>
    <xdr:to>
      <xdr:col>1</xdr:col>
      <xdr:colOff>482917</xdr:colOff>
      <xdr:row>0</xdr:row>
      <xdr:rowOff>469312</xdr:rowOff>
    </xdr:to>
    <xdr:pic>
      <xdr:nvPicPr>
        <xdr:cNvPr id="2" name="Image 1">
          <a:extLst>
            <a:ext uri="{FF2B5EF4-FFF2-40B4-BE49-F238E27FC236}">
              <a16:creationId xmlns:a16="http://schemas.microsoft.com/office/drawing/2014/main" id="{41598730-48A6-4527-BC45-ECC870C34A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9125" y="1"/>
          <a:ext cx="619125" cy="4610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416717</xdr:colOff>
      <xdr:row>1</xdr:row>
      <xdr:rowOff>9978</xdr:rowOff>
    </xdr:to>
    <xdr:pic>
      <xdr:nvPicPr>
        <xdr:cNvPr id="2" name="Image 1">
          <a:extLst>
            <a:ext uri="{FF2B5EF4-FFF2-40B4-BE49-F238E27FC236}">
              <a16:creationId xmlns:a16="http://schemas.microsoft.com/office/drawing/2014/main" id="{2D4B40C2-42BB-4751-A406-02BDC4A81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1152524" cy="88437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72571</xdr:colOff>
      <xdr:row>0</xdr:row>
      <xdr:rowOff>1399134</xdr:rowOff>
    </xdr:from>
    <xdr:to>
      <xdr:col>0</xdr:col>
      <xdr:colOff>783580</xdr:colOff>
      <xdr:row>1</xdr:row>
      <xdr:rowOff>488887</xdr:rowOff>
    </xdr:to>
    <xdr:pic>
      <xdr:nvPicPr>
        <xdr:cNvPr id="2" name="Image 1">
          <a:extLst>
            <a:ext uri="{FF2B5EF4-FFF2-40B4-BE49-F238E27FC236}">
              <a16:creationId xmlns:a16="http://schemas.microsoft.com/office/drawing/2014/main" id="{12F3138C-4DA7-4EA2-A7D1-710B557472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571" y="1399134"/>
          <a:ext cx="709739" cy="54535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50800</xdr:colOff>
      <xdr:row>0</xdr:row>
      <xdr:rowOff>685801</xdr:rowOff>
    </xdr:from>
    <xdr:to>
      <xdr:col>1</xdr:col>
      <xdr:colOff>21288</xdr:colOff>
      <xdr:row>2</xdr:row>
      <xdr:rowOff>74748</xdr:rowOff>
    </xdr:to>
    <xdr:pic>
      <xdr:nvPicPr>
        <xdr:cNvPr id="2" name="Image 1">
          <a:extLst>
            <a:ext uri="{FF2B5EF4-FFF2-40B4-BE49-F238E27FC236}">
              <a16:creationId xmlns:a16="http://schemas.microsoft.com/office/drawing/2014/main" id="{57640A11-3394-499D-AC9C-5AFCF9D0F1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800" y="685801"/>
          <a:ext cx="1152858" cy="88754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84666</xdr:colOff>
      <xdr:row>0</xdr:row>
      <xdr:rowOff>709085</xdr:rowOff>
    </xdr:from>
    <xdr:to>
      <xdr:col>0</xdr:col>
      <xdr:colOff>1134643</xdr:colOff>
      <xdr:row>1</xdr:row>
      <xdr:rowOff>638387</xdr:rowOff>
    </xdr:to>
    <xdr:pic>
      <xdr:nvPicPr>
        <xdr:cNvPr id="2" name="Image 1">
          <a:extLst>
            <a:ext uri="{FF2B5EF4-FFF2-40B4-BE49-F238E27FC236}">
              <a16:creationId xmlns:a16="http://schemas.microsoft.com/office/drawing/2014/main" id="{2C85D8DF-5C96-4901-8151-6434B85203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666" y="709085"/>
          <a:ext cx="1042357" cy="81491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55A3051-EEC4-2B43-9098-D12C7DDBA869}" name="Table1" displayName="Table1" ref="A2:E13" totalsRowShown="0" headerRowDxfId="30" headerRowBorderDxfId="28" tableBorderDxfId="29" totalsRowBorderDxfId="27">
  <autoFilter ref="A2:E13" xr:uid="{A81F739D-0C30-429F-9AA3-409DB216ADF6}"/>
  <tableColumns count="5">
    <tableColumn id="6" xr3:uid="{B2229C15-E325-5D4F-B843-A0C040A3D18C}" name="Nom du marché" dataDxfId="26"/>
    <tableColumn id="8" xr3:uid="{79FAF696-909C-F446-8E95-DAECCF66302F}" name="Pièces transmises de marchés " dataDxfId="25"/>
    <tableColumn id="10" xr3:uid="{C64B62DE-EA4F-2B48-BFF5-260DA4EBA61D}" name="Date du marché" dataDxfId="24"/>
    <tableColumn id="9" xr3:uid="{2C374E50-4477-0341-A71B-0972AE02C246}" name="Montant HT du marché " dataDxfId="23"/>
    <tableColumn id="7" xr3:uid="{6061AE7B-1255-8E4A-ABDF-1A82F55B6147}" name="Le marché est-il lié à une dépense couverte par une OCS ?" dataDxfId="2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83A017E-BA0F-484D-B93C-0D7C8665995A}" name="Table13" displayName="Table13" ref="F2:J13" totalsRowShown="0" headerRowDxfId="21" headerRowBorderDxfId="19" tableBorderDxfId="20" totalsRowBorderDxfId="18">
  <autoFilter ref="F2:J13" xr:uid="{1C099EC9-A5F7-40D1-9F56-A7702E938779}"/>
  <tableColumns count="5">
    <tableColumn id="6" xr3:uid="{A93DDD09-77EB-4A4E-821A-B69DFCDFDCF9}" name="Nom du marché" dataDxfId="17"/>
    <tableColumn id="8" xr3:uid="{6944B999-E775-A54C-88ED-871C5DF23FE2}" name="Pièces transmises de marchés " dataDxfId="16"/>
    <tableColumn id="10" xr3:uid="{E3AADB5C-CEAD-5444-9FC3-95DF987BCCA9}" name="Date du marché" dataDxfId="15"/>
    <tableColumn id="9" xr3:uid="{72F59B17-57DA-5340-9FF3-2CFE7F80E682}" name="Montant HT du marché " dataDxfId="14"/>
    <tableColumn id="7" xr3:uid="{C3FF07DA-3785-DB45-9627-2DD6FD862771}" name="Le marché est-il lié à une dépense couverte par une OCS ?" dataDxfId="13"/>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1.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5EAAE-43B2-456A-A8C2-FCAD246C52E9}">
  <sheetPr codeName="Feuil2">
    <pageSetUpPr fitToPage="1"/>
  </sheetPr>
  <dimension ref="A1:X32"/>
  <sheetViews>
    <sheetView showGridLines="0" zoomScale="75" zoomScaleNormal="55" workbookViewId="0">
      <selection activeCell="AB23" sqref="AB23"/>
    </sheetView>
  </sheetViews>
  <sheetFormatPr defaultColWidth="11.42578125" defaultRowHeight="15"/>
  <cols>
    <col min="1" max="9" width="11.42578125" style="44"/>
    <col min="10" max="10" width="16.42578125" style="44" customWidth="1"/>
    <col min="11" max="16384" width="11.42578125" style="44"/>
  </cols>
  <sheetData>
    <row r="1" spans="1:24">
      <c r="A1" s="42"/>
      <c r="B1" s="42"/>
      <c r="C1" s="42"/>
      <c r="D1" s="42"/>
      <c r="E1" s="42"/>
      <c r="F1" s="42"/>
      <c r="G1" s="42"/>
      <c r="H1" s="42"/>
      <c r="I1" s="42"/>
      <c r="J1" s="42"/>
      <c r="K1" s="42"/>
      <c r="L1" s="42"/>
      <c r="M1" s="42"/>
      <c r="N1" s="42"/>
      <c r="O1" s="42"/>
      <c r="P1" s="42"/>
      <c r="Q1" s="42"/>
      <c r="R1" s="42"/>
      <c r="S1" s="42"/>
      <c r="T1" s="42"/>
      <c r="U1" s="42"/>
      <c r="V1" s="42"/>
      <c r="W1" s="42"/>
      <c r="X1" s="43"/>
    </row>
    <row r="2" spans="1:24">
      <c r="X2" s="45"/>
    </row>
    <row r="3" spans="1:24">
      <c r="X3" s="45"/>
    </row>
    <row r="4" spans="1:24">
      <c r="X4" s="45"/>
    </row>
    <row r="5" spans="1:24">
      <c r="X5" s="45"/>
    </row>
    <row r="6" spans="1:24">
      <c r="X6" s="45"/>
    </row>
    <row r="7" spans="1:24">
      <c r="V7" s="920"/>
      <c r="W7" s="920"/>
      <c r="X7" s="45"/>
    </row>
    <row r="8" spans="1:24" ht="21">
      <c r="A8" s="929" t="s">
        <v>0</v>
      </c>
      <c r="B8" s="930"/>
      <c r="C8" s="930"/>
      <c r="D8" s="930"/>
      <c r="E8" s="930"/>
      <c r="F8" s="930"/>
      <c r="G8" s="930"/>
      <c r="H8" s="930"/>
      <c r="I8" s="930"/>
      <c r="J8" s="930"/>
      <c r="K8" s="930"/>
      <c r="L8" s="930"/>
      <c r="M8" s="930"/>
      <c r="N8" s="930"/>
      <c r="O8" s="930"/>
      <c r="P8" s="930"/>
      <c r="Q8" s="930"/>
      <c r="R8" s="930"/>
      <c r="S8" s="930"/>
      <c r="T8" s="930"/>
      <c r="U8" s="930"/>
      <c r="V8" s="930"/>
      <c r="W8" s="930"/>
      <c r="X8" s="931"/>
    </row>
    <row r="9" spans="1:24" ht="26.1">
      <c r="A9" s="926" t="s">
        <v>1</v>
      </c>
      <c r="B9" s="927"/>
      <c r="C9" s="927"/>
      <c r="D9" s="927"/>
      <c r="E9" s="927"/>
      <c r="F9" s="927"/>
      <c r="G9" s="927"/>
      <c r="H9" s="927"/>
      <c r="I9" s="927"/>
      <c r="J9" s="927"/>
      <c r="K9" s="927"/>
      <c r="L9" s="927"/>
      <c r="M9" s="927"/>
      <c r="N9" s="927"/>
      <c r="O9" s="927"/>
      <c r="P9" s="927"/>
      <c r="Q9" s="927"/>
      <c r="R9" s="927"/>
      <c r="S9" s="927"/>
      <c r="T9" s="927"/>
      <c r="U9" s="927"/>
      <c r="V9" s="927"/>
      <c r="W9" s="927"/>
      <c r="X9" s="928"/>
    </row>
    <row r="10" spans="1:24" ht="26.1">
      <c r="A10" s="926" t="s">
        <v>2</v>
      </c>
      <c r="B10" s="927"/>
      <c r="C10" s="927"/>
      <c r="D10" s="927"/>
      <c r="E10" s="927"/>
      <c r="F10" s="927"/>
      <c r="G10" s="927"/>
      <c r="H10" s="927"/>
      <c r="I10" s="927"/>
      <c r="J10" s="927"/>
      <c r="K10" s="927"/>
      <c r="L10" s="927"/>
      <c r="M10" s="927"/>
      <c r="N10" s="927"/>
      <c r="O10" s="927"/>
      <c r="P10" s="927"/>
      <c r="Q10" s="927"/>
      <c r="R10" s="927"/>
      <c r="S10" s="927"/>
      <c r="T10" s="927"/>
      <c r="U10" s="927"/>
      <c r="V10" s="927"/>
      <c r="W10" s="927"/>
      <c r="X10" s="928"/>
    </row>
    <row r="11" spans="1:24" ht="26.1">
      <c r="A11" s="926" t="s">
        <v>3</v>
      </c>
      <c r="B11" s="927"/>
      <c r="C11" s="927"/>
      <c r="D11" s="927"/>
      <c r="E11" s="927"/>
      <c r="F11" s="927"/>
      <c r="G11" s="927"/>
      <c r="H11" s="927"/>
      <c r="I11" s="927"/>
      <c r="J11" s="927"/>
      <c r="K11" s="927"/>
      <c r="L11" s="927"/>
      <c r="M11" s="927"/>
      <c r="N11" s="927"/>
      <c r="O11" s="927"/>
      <c r="P11" s="927"/>
      <c r="Q11" s="927"/>
      <c r="R11" s="927"/>
      <c r="S11" s="927"/>
      <c r="T11" s="927"/>
      <c r="U11" s="927"/>
      <c r="V11" s="927"/>
      <c r="W11" s="927"/>
      <c r="X11" s="928"/>
    </row>
    <row r="12" spans="1:24" ht="21">
      <c r="A12" s="916" t="s">
        <v>4</v>
      </c>
      <c r="B12" s="917"/>
      <c r="C12" s="917"/>
      <c r="D12" s="917"/>
      <c r="E12" s="917"/>
      <c r="F12" s="917"/>
      <c r="G12" s="917"/>
      <c r="H12" s="917"/>
      <c r="I12" s="917"/>
      <c r="J12" s="917"/>
      <c r="K12" s="917"/>
      <c r="L12" s="917"/>
      <c r="M12" s="917"/>
      <c r="N12" s="917"/>
      <c r="O12" s="917"/>
      <c r="P12" s="917"/>
      <c r="Q12" s="917"/>
      <c r="R12" s="917"/>
      <c r="S12" s="917"/>
      <c r="T12" s="917"/>
      <c r="U12" s="917"/>
      <c r="V12" s="917"/>
      <c r="W12" s="917"/>
      <c r="X12" s="918"/>
    </row>
    <row r="13" spans="1:24" ht="21">
      <c r="A13" s="46"/>
      <c r="B13" s="47"/>
      <c r="C13" s="47"/>
      <c r="D13" s="47"/>
      <c r="E13" s="47"/>
      <c r="F13" s="47"/>
      <c r="G13" s="47"/>
      <c r="H13" s="47"/>
      <c r="I13" s="47"/>
      <c r="J13" s="48"/>
      <c r="K13" s="48"/>
      <c r="L13" s="48"/>
      <c r="M13" s="48"/>
      <c r="N13" s="48"/>
      <c r="O13" s="47"/>
      <c r="P13" s="47"/>
      <c r="Q13" s="47"/>
      <c r="R13" s="47"/>
      <c r="S13" s="47"/>
      <c r="T13" s="47"/>
      <c r="U13" s="47"/>
      <c r="V13" s="47"/>
      <c r="W13" s="47"/>
      <c r="X13" s="49"/>
    </row>
    <row r="14" spans="1:24" ht="29.1">
      <c r="A14" s="923" t="s">
        <v>5</v>
      </c>
      <c r="B14" s="924"/>
      <c r="C14" s="924"/>
      <c r="D14" s="924"/>
      <c r="E14" s="924"/>
      <c r="F14" s="924"/>
      <c r="G14" s="924"/>
      <c r="H14" s="924"/>
      <c r="I14" s="924"/>
      <c r="J14" s="924"/>
      <c r="K14" s="924"/>
      <c r="L14" s="924"/>
      <c r="M14" s="924"/>
      <c r="N14" s="924"/>
      <c r="O14" s="924"/>
      <c r="P14" s="924"/>
      <c r="Q14" s="924"/>
      <c r="R14" s="924"/>
      <c r="S14" s="924"/>
      <c r="T14" s="924"/>
      <c r="U14" s="924"/>
      <c r="V14" s="924"/>
      <c r="W14" s="924"/>
      <c r="X14" s="925"/>
    </row>
    <row r="15" spans="1:24" ht="29.1">
      <c r="A15" s="50"/>
      <c r="B15" s="50"/>
      <c r="C15" s="50"/>
      <c r="D15" s="50"/>
      <c r="E15" s="50"/>
      <c r="F15" s="50"/>
      <c r="G15" s="50"/>
      <c r="H15" s="50"/>
      <c r="I15" s="50"/>
      <c r="J15" s="50"/>
      <c r="K15" s="919" t="s">
        <v>6</v>
      </c>
      <c r="L15" s="919"/>
      <c r="M15" s="919"/>
      <c r="N15" s="50"/>
      <c r="O15" s="50"/>
      <c r="P15" s="50"/>
      <c r="Q15" s="50"/>
      <c r="R15" s="50"/>
      <c r="S15" s="50"/>
      <c r="T15" s="50"/>
      <c r="U15" s="50"/>
      <c r="V15" s="50"/>
      <c r="W15" s="50"/>
      <c r="X15" s="51"/>
    </row>
    <row r="16" spans="1:24" ht="48" customHeight="1">
      <c r="A16" s="933" t="s">
        <v>7</v>
      </c>
      <c r="B16" s="934"/>
      <c r="C16" s="934"/>
      <c r="D16" s="934"/>
      <c r="E16" s="934"/>
      <c r="F16" s="934"/>
      <c r="G16" s="934"/>
      <c r="H16" s="934"/>
      <c r="I16" s="934"/>
      <c r="J16" s="934"/>
      <c r="K16" s="934"/>
      <c r="L16" s="934"/>
      <c r="M16" s="934"/>
      <c r="N16" s="934"/>
      <c r="O16" s="934"/>
      <c r="P16" s="934"/>
      <c r="Q16" s="934"/>
      <c r="R16" s="934"/>
      <c r="S16" s="934"/>
      <c r="T16" s="934"/>
      <c r="U16" s="934"/>
      <c r="V16" s="934"/>
      <c r="W16" s="934"/>
      <c r="X16" s="935"/>
    </row>
    <row r="17" spans="1:24" ht="35.25" customHeight="1">
      <c r="B17" s="932" t="s">
        <v>8</v>
      </c>
      <c r="C17" s="932"/>
      <c r="D17" s="932"/>
      <c r="E17" s="932"/>
      <c r="F17" s="932"/>
      <c r="G17" s="932"/>
      <c r="H17" s="932"/>
      <c r="I17" s="932"/>
      <c r="J17" s="932"/>
      <c r="K17" s="932"/>
      <c r="L17" s="932"/>
      <c r="M17" s="932"/>
      <c r="N17" s="932"/>
      <c r="O17" s="932"/>
      <c r="P17" s="932"/>
      <c r="Q17" s="932"/>
      <c r="R17" s="932"/>
      <c r="S17" s="932"/>
      <c r="T17" s="932"/>
      <c r="U17" s="932"/>
      <c r="V17" s="932"/>
      <c r="W17" s="932"/>
      <c r="X17" s="45"/>
    </row>
    <row r="18" spans="1:24">
      <c r="X18" s="45"/>
    </row>
    <row r="19" spans="1:24" ht="18.95">
      <c r="B19" s="921" t="s">
        <v>9</v>
      </c>
      <c r="C19" s="921"/>
      <c r="D19" s="921"/>
      <c r="E19" s="921"/>
      <c r="F19" s="921"/>
      <c r="G19" s="921"/>
      <c r="H19" s="921"/>
      <c r="I19" s="921"/>
      <c r="J19" s="921"/>
      <c r="K19" s="921"/>
      <c r="L19" s="921"/>
      <c r="M19" s="921"/>
      <c r="N19" s="921"/>
      <c r="O19" s="921"/>
      <c r="P19" s="921"/>
      <c r="Q19" s="921"/>
      <c r="R19" s="921"/>
      <c r="S19" s="921"/>
      <c r="T19" s="921"/>
      <c r="U19" s="921"/>
      <c r="V19" s="921"/>
      <c r="W19" s="921"/>
      <c r="X19" s="45"/>
    </row>
    <row r="20" spans="1:24" ht="78.95" customHeight="1">
      <c r="B20" s="914" t="s">
        <v>10</v>
      </c>
      <c r="C20" s="915"/>
      <c r="D20" s="915"/>
      <c r="E20" s="915"/>
      <c r="F20" s="915"/>
      <c r="G20" s="915"/>
      <c r="H20" s="915"/>
      <c r="I20" s="915"/>
      <c r="J20" s="915"/>
      <c r="K20" s="915"/>
      <c r="L20" s="915"/>
      <c r="M20" s="915"/>
      <c r="N20" s="915"/>
      <c r="O20" s="915"/>
      <c r="P20" s="915"/>
      <c r="Q20" s="915"/>
      <c r="R20" s="915"/>
      <c r="S20" s="915"/>
      <c r="T20" s="915"/>
      <c r="U20" s="915"/>
      <c r="V20" s="915"/>
      <c r="W20" s="915"/>
      <c r="X20" s="45"/>
    </row>
    <row r="21" spans="1:24" ht="45" customHeight="1">
      <c r="B21" s="914" t="s">
        <v>11</v>
      </c>
      <c r="C21" s="915"/>
      <c r="D21" s="915"/>
      <c r="E21" s="915"/>
      <c r="F21" s="915"/>
      <c r="G21" s="915"/>
      <c r="H21" s="915"/>
      <c r="I21" s="915"/>
      <c r="J21" s="915"/>
      <c r="K21" s="915"/>
      <c r="L21" s="915"/>
      <c r="M21" s="915"/>
      <c r="N21" s="915"/>
      <c r="O21" s="915"/>
      <c r="P21" s="915"/>
      <c r="Q21" s="915"/>
      <c r="R21" s="915"/>
      <c r="S21" s="915"/>
      <c r="T21" s="915"/>
      <c r="U21" s="915"/>
      <c r="V21" s="915"/>
      <c r="W21" s="915"/>
      <c r="X21" s="45"/>
    </row>
    <row r="22" spans="1:24" ht="367.5" customHeight="1">
      <c r="B22" s="914" t="s">
        <v>12</v>
      </c>
      <c r="C22" s="914"/>
      <c r="D22" s="914"/>
      <c r="E22" s="914"/>
      <c r="F22" s="914"/>
      <c r="G22" s="914"/>
      <c r="H22" s="914"/>
      <c r="I22" s="914"/>
      <c r="J22" s="914"/>
      <c r="K22" s="914"/>
      <c r="L22" s="914"/>
      <c r="M22" s="914"/>
      <c r="N22" s="914"/>
      <c r="O22" s="914"/>
      <c r="P22" s="914"/>
      <c r="Q22" s="914"/>
      <c r="R22" s="914"/>
      <c r="S22" s="914"/>
      <c r="T22" s="914"/>
      <c r="U22" s="914"/>
      <c r="V22" s="914"/>
      <c r="W22" s="914"/>
      <c r="X22" s="45"/>
    </row>
    <row r="23" spans="1:24" ht="119.25" customHeight="1">
      <c r="B23" s="1196" t="s">
        <v>13</v>
      </c>
      <c r="C23" s="1196"/>
      <c r="D23" s="1196"/>
      <c r="E23" s="1196"/>
      <c r="F23" s="1196"/>
      <c r="G23" s="1196"/>
      <c r="H23" s="1196"/>
      <c r="I23" s="1196"/>
      <c r="J23" s="1196"/>
      <c r="K23" s="1196"/>
      <c r="L23" s="1196"/>
      <c r="M23" s="1196"/>
      <c r="N23" s="1196"/>
      <c r="O23" s="1196"/>
      <c r="P23" s="1196"/>
      <c r="Q23" s="1196"/>
      <c r="R23" s="1196"/>
      <c r="S23" s="1196"/>
      <c r="T23" s="1196"/>
      <c r="U23" s="1196"/>
      <c r="V23" s="1196"/>
      <c r="W23" s="1196"/>
      <c r="X23" s="45"/>
    </row>
    <row r="24" spans="1:24" ht="120" customHeight="1">
      <c r="A24" s="52"/>
      <c r="B24" s="1196" t="s">
        <v>14</v>
      </c>
      <c r="C24" s="1196"/>
      <c r="D24" s="1196"/>
      <c r="E24" s="1196"/>
      <c r="F24" s="1196"/>
      <c r="G24" s="1196"/>
      <c r="H24" s="1196"/>
      <c r="I24" s="1196"/>
      <c r="J24" s="1196"/>
      <c r="K24" s="1196"/>
      <c r="L24" s="1196"/>
      <c r="M24" s="1196"/>
      <c r="N24" s="1196"/>
      <c r="O24" s="1196"/>
      <c r="P24" s="1196"/>
      <c r="Q24" s="1196"/>
      <c r="R24" s="1196"/>
      <c r="S24" s="1196"/>
      <c r="T24" s="1196"/>
      <c r="U24" s="1196"/>
      <c r="V24" s="1196"/>
      <c r="W24" s="1196"/>
      <c r="X24" s="45"/>
    </row>
    <row r="25" spans="1:24" ht="32.25" customHeight="1">
      <c r="A25" s="52"/>
      <c r="B25" s="1196" t="s">
        <v>15</v>
      </c>
      <c r="C25" s="1196"/>
      <c r="D25" s="1196"/>
      <c r="E25" s="1196"/>
      <c r="F25" s="1196"/>
      <c r="G25" s="1196"/>
      <c r="H25" s="1196"/>
      <c r="I25" s="1196"/>
      <c r="J25" s="1196"/>
      <c r="K25" s="1196"/>
      <c r="L25" s="1196"/>
      <c r="M25" s="1196"/>
      <c r="N25" s="1196"/>
      <c r="O25" s="1196"/>
      <c r="P25" s="1196"/>
      <c r="Q25" s="1196"/>
      <c r="R25" s="1196"/>
      <c r="S25" s="1196"/>
      <c r="T25" s="1196"/>
      <c r="U25" s="1196"/>
      <c r="V25" s="1196"/>
      <c r="W25" s="1196"/>
      <c r="X25" s="45"/>
    </row>
    <row r="26" spans="1:24">
      <c r="X26" s="45"/>
    </row>
    <row r="27" spans="1:24" ht="18.95">
      <c r="B27" s="922" t="s">
        <v>16</v>
      </c>
      <c r="C27" s="922"/>
      <c r="D27" s="922"/>
      <c r="E27" s="922"/>
      <c r="F27" s="922"/>
      <c r="G27" s="922"/>
      <c r="H27" s="922"/>
      <c r="I27" s="922"/>
      <c r="J27" s="922"/>
      <c r="K27" s="922"/>
      <c r="L27" s="922"/>
      <c r="M27" s="922"/>
      <c r="N27" s="922"/>
      <c r="O27" s="922"/>
      <c r="P27" s="922"/>
      <c r="Q27" s="922"/>
      <c r="R27" s="922"/>
      <c r="S27" s="922"/>
      <c r="T27" s="922"/>
      <c r="U27" s="922"/>
      <c r="V27" s="922"/>
      <c r="W27" s="922"/>
      <c r="X27" s="45"/>
    </row>
    <row r="28" spans="1:24" ht="96" customHeight="1">
      <c r="B28" s="1196" t="s">
        <v>17</v>
      </c>
      <c r="C28" s="1196"/>
      <c r="D28" s="1196"/>
      <c r="E28" s="1196"/>
      <c r="F28" s="1196"/>
      <c r="G28" s="1196"/>
      <c r="H28" s="1196"/>
      <c r="I28" s="1196"/>
      <c r="J28" s="1196"/>
      <c r="K28" s="1196"/>
      <c r="L28" s="1196"/>
      <c r="M28" s="1196"/>
      <c r="N28" s="1196"/>
      <c r="O28" s="1196"/>
      <c r="P28" s="1196"/>
      <c r="Q28" s="1196"/>
      <c r="R28" s="1196"/>
      <c r="S28" s="1196"/>
      <c r="T28" s="1196"/>
      <c r="U28" s="1196"/>
      <c r="V28" s="1196"/>
      <c r="W28" s="1196"/>
      <c r="X28" s="45"/>
    </row>
    <row r="29" spans="1:24" ht="15.95">
      <c r="B29" s="1197"/>
      <c r="C29" s="1197"/>
      <c r="D29" s="1197"/>
      <c r="E29" s="1197"/>
      <c r="F29" s="1197"/>
      <c r="G29" s="1197"/>
      <c r="H29" s="1197"/>
      <c r="I29" s="1197"/>
      <c r="J29" s="1197"/>
      <c r="K29" s="1197"/>
      <c r="L29" s="1197"/>
      <c r="M29" s="1197"/>
      <c r="N29" s="1197"/>
      <c r="O29" s="1197"/>
      <c r="P29" s="1197"/>
      <c r="Q29" s="1197"/>
      <c r="R29" s="1197"/>
      <c r="S29" s="1197"/>
      <c r="T29" s="1197"/>
      <c r="U29" s="1197"/>
      <c r="V29" s="1197"/>
      <c r="W29" s="1197"/>
      <c r="X29" s="45"/>
    </row>
    <row r="30" spans="1:24" ht="18.95">
      <c r="B30" s="921" t="s">
        <v>18</v>
      </c>
      <c r="C30" s="921"/>
      <c r="D30" s="921"/>
      <c r="E30" s="921"/>
      <c r="F30" s="921"/>
      <c r="G30" s="921"/>
      <c r="H30" s="921"/>
      <c r="I30" s="921"/>
      <c r="J30" s="921"/>
      <c r="K30" s="921"/>
      <c r="L30" s="921"/>
      <c r="M30" s="921"/>
      <c r="N30" s="921"/>
      <c r="O30" s="921"/>
      <c r="P30" s="921"/>
      <c r="Q30" s="921"/>
      <c r="R30" s="921"/>
      <c r="S30" s="921"/>
      <c r="T30" s="921"/>
      <c r="U30" s="921"/>
      <c r="V30" s="921"/>
      <c r="W30" s="921"/>
      <c r="X30" s="45"/>
    </row>
    <row r="31" spans="1:24" ht="33" customHeight="1">
      <c r="B31" s="1196" t="s">
        <v>19</v>
      </c>
      <c r="C31" s="1196"/>
      <c r="D31" s="1196"/>
      <c r="E31" s="1196"/>
      <c r="F31" s="1196"/>
      <c r="G31" s="1196"/>
      <c r="H31" s="1196"/>
      <c r="I31" s="1196"/>
      <c r="J31" s="1196"/>
      <c r="K31" s="1196"/>
      <c r="L31" s="1196"/>
      <c r="M31" s="1196"/>
      <c r="N31" s="1196"/>
      <c r="O31" s="1196"/>
      <c r="P31" s="1196"/>
      <c r="Q31" s="1196"/>
      <c r="R31" s="1196"/>
      <c r="S31" s="1196"/>
      <c r="T31" s="1196"/>
      <c r="U31" s="1196"/>
      <c r="V31" s="1196"/>
      <c r="W31" s="1196"/>
      <c r="X31" s="45"/>
    </row>
    <row r="32" spans="1:24" ht="21.95" thickBot="1">
      <c r="A32" s="53"/>
      <c r="B32" s="54"/>
      <c r="C32" s="53"/>
      <c r="D32" s="53"/>
      <c r="E32" s="53"/>
      <c r="F32" s="53"/>
      <c r="G32" s="53"/>
      <c r="H32" s="53"/>
      <c r="I32" s="53"/>
      <c r="J32" s="53"/>
      <c r="K32" s="53"/>
      <c r="L32" s="53"/>
      <c r="M32" s="53"/>
      <c r="N32" s="53"/>
      <c r="O32" s="53"/>
      <c r="P32" s="53"/>
      <c r="Q32" s="53"/>
      <c r="R32" s="53"/>
      <c r="S32" s="53"/>
      <c r="T32" s="53"/>
      <c r="U32" s="53"/>
      <c r="V32" s="53"/>
      <c r="W32" s="53"/>
      <c r="X32" s="55"/>
    </row>
  </sheetData>
  <sheetProtection algorithmName="SHA-512" hashValue="EN+CmwddrU0LBty807n6gfBDo4wfweDbDu3F4av2dd1AHlV6Fe3C5ic8EFrqG2kkKbhIc+0ofPfMMe2Ef/9Nkg==" saltValue="YOC6ekluy3L0qNZEzr+rXA==" spinCount="100000" sheet="1" formatCells="0" formatColumns="0" formatRows="0" insertColumns="0" insertRows="0" insertHyperlinks="0" deleteColumns="0" deleteRows="0" sort="0" autoFilter="0" pivotTables="0"/>
  <mergeCells count="21">
    <mergeCell ref="B31:W31"/>
    <mergeCell ref="V7:W7"/>
    <mergeCell ref="B23:W23"/>
    <mergeCell ref="B19:W19"/>
    <mergeCell ref="B27:W27"/>
    <mergeCell ref="B28:W28"/>
    <mergeCell ref="B30:W30"/>
    <mergeCell ref="A14:X14"/>
    <mergeCell ref="A9:X9"/>
    <mergeCell ref="A8:X8"/>
    <mergeCell ref="B17:W17"/>
    <mergeCell ref="B22:W22"/>
    <mergeCell ref="A10:X10"/>
    <mergeCell ref="A11:X11"/>
    <mergeCell ref="A16:X16"/>
    <mergeCell ref="B20:W20"/>
    <mergeCell ref="B21:W21"/>
    <mergeCell ref="B24:W24"/>
    <mergeCell ref="B25:W25"/>
    <mergeCell ref="A12:X12"/>
    <mergeCell ref="K15:M15"/>
  </mergeCells>
  <pageMargins left="6.6666666666666671E-3" right="0.7" top="3.3333333333333335E-3" bottom="0.75" header="0.3" footer="0.3"/>
  <pageSetup paperSize="9" scale="3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4C867-E62B-8440-B82A-0F92DD9540DD}">
  <dimension ref="A1:K13"/>
  <sheetViews>
    <sheetView showGridLines="0" zoomScale="75" workbookViewId="0">
      <selection activeCell="E6" sqref="E6"/>
    </sheetView>
  </sheetViews>
  <sheetFormatPr defaultColWidth="8.85546875" defaultRowHeight="15"/>
  <cols>
    <col min="1" max="5" width="26.42578125" customWidth="1"/>
    <col min="6" max="9" width="16.42578125" customWidth="1"/>
    <col min="10" max="11" width="24.140625" customWidth="1"/>
  </cols>
  <sheetData>
    <row r="1" spans="1:11" ht="44.25" customHeight="1" thickBot="1">
      <c r="A1" s="989" t="s">
        <v>249</v>
      </c>
      <c r="B1" s="990"/>
      <c r="C1" s="990"/>
      <c r="D1" s="990"/>
      <c r="E1" s="990"/>
      <c r="F1" s="991" t="s">
        <v>250</v>
      </c>
      <c r="G1" s="965"/>
      <c r="H1" s="965"/>
      <c r="I1" s="965"/>
      <c r="J1" s="965"/>
      <c r="K1" s="965"/>
    </row>
    <row r="2" spans="1:11" ht="48">
      <c r="A2" s="206" t="s">
        <v>251</v>
      </c>
      <c r="B2" s="206" t="s">
        <v>252</v>
      </c>
      <c r="C2" s="206" t="s">
        <v>253</v>
      </c>
      <c r="D2" s="206" t="s">
        <v>254</v>
      </c>
      <c r="E2" s="206" t="s">
        <v>255</v>
      </c>
      <c r="F2" s="657" t="s">
        <v>251</v>
      </c>
      <c r="G2" s="657" t="s">
        <v>252</v>
      </c>
      <c r="H2" s="657" t="s">
        <v>253</v>
      </c>
      <c r="I2" s="657" t="s">
        <v>254</v>
      </c>
      <c r="J2" s="657" t="s">
        <v>255</v>
      </c>
      <c r="K2" s="658" t="s">
        <v>256</v>
      </c>
    </row>
    <row r="3" spans="1:11">
      <c r="A3" s="659"/>
      <c r="B3" s="659"/>
      <c r="C3" s="660"/>
      <c r="D3" s="661"/>
      <c r="E3" s="661"/>
      <c r="F3" s="659"/>
      <c r="G3" s="661"/>
      <c r="H3" s="660"/>
      <c r="I3" s="661"/>
      <c r="J3" s="661"/>
      <c r="K3" s="662"/>
    </row>
    <row r="4" spans="1:11">
      <c r="A4" s="659"/>
      <c r="B4" s="659"/>
      <c r="C4" s="660"/>
      <c r="D4" s="661"/>
      <c r="E4" s="661"/>
      <c r="F4" s="659"/>
      <c r="G4" s="661"/>
      <c r="H4" s="660"/>
      <c r="I4" s="661"/>
      <c r="J4" s="661"/>
      <c r="K4" s="662"/>
    </row>
    <row r="5" spans="1:11">
      <c r="A5" s="659"/>
      <c r="B5" s="659"/>
      <c r="C5" s="660"/>
      <c r="D5" s="661"/>
      <c r="E5" s="661"/>
      <c r="F5" s="659"/>
      <c r="G5" s="661"/>
      <c r="H5" s="660"/>
      <c r="I5" s="661"/>
      <c r="J5" s="661"/>
      <c r="K5" s="662"/>
    </row>
    <row r="6" spans="1:11">
      <c r="A6" s="659"/>
      <c r="B6" s="659"/>
      <c r="C6" s="660"/>
      <c r="D6" s="661"/>
      <c r="E6" s="661"/>
      <c r="F6" s="659"/>
      <c r="G6" s="661"/>
      <c r="H6" s="660"/>
      <c r="I6" s="661"/>
      <c r="J6" s="661"/>
      <c r="K6" s="662"/>
    </row>
    <row r="7" spans="1:11">
      <c r="A7" s="659"/>
      <c r="B7" s="659"/>
      <c r="C7" s="660"/>
      <c r="D7" s="661"/>
      <c r="E7" s="661"/>
      <c r="F7" s="659"/>
      <c r="G7" s="661"/>
      <c r="H7" s="660"/>
      <c r="I7" s="661"/>
      <c r="J7" s="661"/>
      <c r="K7" s="662"/>
    </row>
    <row r="8" spans="1:11">
      <c r="A8" s="659"/>
      <c r="B8" s="659"/>
      <c r="C8" s="660"/>
      <c r="D8" s="661"/>
      <c r="E8" s="661"/>
      <c r="F8" s="659"/>
      <c r="G8" s="661"/>
      <c r="H8" s="660"/>
      <c r="I8" s="661"/>
      <c r="J8" s="661"/>
      <c r="K8" s="662"/>
    </row>
    <row r="9" spans="1:11">
      <c r="A9" s="659"/>
      <c r="B9" s="659"/>
      <c r="C9" s="660"/>
      <c r="D9" s="661"/>
      <c r="E9" s="661"/>
      <c r="F9" s="659"/>
      <c r="G9" s="661"/>
      <c r="H9" s="660"/>
      <c r="I9" s="661"/>
      <c r="J9" s="661"/>
      <c r="K9" s="662"/>
    </row>
    <row r="10" spans="1:11">
      <c r="A10" s="659"/>
      <c r="B10" s="659"/>
      <c r="C10" s="660"/>
      <c r="D10" s="661"/>
      <c r="E10" s="661"/>
      <c r="F10" s="659"/>
      <c r="G10" s="661"/>
      <c r="H10" s="660"/>
      <c r="I10" s="661"/>
      <c r="J10" s="661"/>
      <c r="K10" s="662"/>
    </row>
    <row r="11" spans="1:11">
      <c r="A11" s="659"/>
      <c r="B11" s="659"/>
      <c r="C11" s="660"/>
      <c r="D11" s="661"/>
      <c r="E11" s="661"/>
      <c r="F11" s="659"/>
      <c r="G11" s="661"/>
      <c r="H11" s="660"/>
      <c r="I11" s="661"/>
      <c r="J11" s="661"/>
      <c r="K11" s="662"/>
    </row>
    <row r="12" spans="1:11">
      <c r="A12" s="659"/>
      <c r="B12" s="659"/>
      <c r="C12" s="660"/>
      <c r="D12" s="661"/>
      <c r="E12" s="661"/>
      <c r="F12" s="659"/>
      <c r="G12" s="661"/>
      <c r="H12" s="660"/>
      <c r="I12" s="661"/>
      <c r="J12" s="661"/>
      <c r="K12" s="662"/>
    </row>
    <row r="13" spans="1:11" ht="15.95" thickBot="1">
      <c r="A13" s="659"/>
      <c r="B13" s="659"/>
      <c r="C13" s="660"/>
      <c r="D13" s="661"/>
      <c r="E13" s="661"/>
      <c r="F13" s="659"/>
      <c r="G13" s="661"/>
      <c r="H13" s="660"/>
      <c r="I13" s="661"/>
      <c r="J13" s="661"/>
      <c r="K13" s="663"/>
    </row>
  </sheetData>
  <sheetProtection algorithmName="SHA-512" hashValue="xeeoK6CSK9GHpMMHwz7p60rj5L1Xeoi2Aezh6mVT5rh4d2+JWh3ODVUpa3SsPXpG6Ss9z/WW24cR3MNFzszh3A==" saltValue="62O9WX/t6bnhsEZVgvbhFg==" spinCount="100000" sheet="1" objects="1" scenarios="1"/>
  <mergeCells count="2">
    <mergeCell ref="A1:E1"/>
    <mergeCell ref="F1:K1"/>
  </mergeCells>
  <dataValidations count="1">
    <dataValidation type="list" allowBlank="1" showInputMessage="1" showErrorMessage="1" sqref="E3:E13 J3:J13" xr:uid="{2F4CDCAF-DD4D-4B42-8CCB-4C6A2831C2DE}">
      <formula1>"Oui,Non"</formula1>
    </dataValidation>
  </dataValidations>
  <pageMargins left="0.7" right="0.7" top="0.75" bottom="0.75" header="0.3" footer="0.3"/>
  <drawing r:id="rId1"/>
  <tableParts count="2">
    <tablePart r:id="rId2"/>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51E08-11EA-40AC-A839-2CEB7AEA4354}">
  <sheetPr codeName="Feuil17">
    <pageSetUpPr fitToPage="1"/>
  </sheetPr>
  <dimension ref="A1:Y45"/>
  <sheetViews>
    <sheetView showGridLines="0" topLeftCell="A17" zoomScale="50" zoomScaleNormal="55" workbookViewId="0">
      <selection activeCell="D43" sqref="D43"/>
    </sheetView>
  </sheetViews>
  <sheetFormatPr defaultColWidth="11.42578125" defaultRowHeight="15"/>
  <cols>
    <col min="1" max="1" width="52.140625" customWidth="1"/>
    <col min="2" max="2" width="33.140625" customWidth="1"/>
    <col min="3" max="3" width="26.85546875" customWidth="1"/>
    <col min="4" max="4" width="107" customWidth="1"/>
    <col min="5" max="5" width="28" customWidth="1"/>
    <col min="6" max="6" width="46.42578125" customWidth="1"/>
    <col min="7" max="7" width="33.140625" customWidth="1"/>
    <col min="8" max="8" width="48.42578125" customWidth="1"/>
    <col min="9" max="9" width="33.42578125" style="44" customWidth="1"/>
    <col min="10" max="10" width="34.42578125" style="44" customWidth="1"/>
    <col min="11" max="11" width="29.85546875" style="44" customWidth="1"/>
    <col min="12" max="12" width="26.42578125" style="44" customWidth="1"/>
    <col min="13" max="13" width="30.140625" style="44" customWidth="1"/>
    <col min="14" max="14" width="36.42578125" style="44" customWidth="1"/>
    <col min="15" max="15" width="20.140625" style="44" bestFit="1" customWidth="1"/>
    <col min="16" max="16" width="26.85546875" bestFit="1" customWidth="1"/>
    <col min="17" max="17" width="22.42578125" bestFit="1" customWidth="1"/>
    <col min="18" max="18" width="25" bestFit="1" customWidth="1"/>
    <col min="19" max="19" width="19.42578125" customWidth="1"/>
    <col min="20" max="20" width="50.42578125" customWidth="1"/>
    <col min="21" max="21" width="30.42578125" customWidth="1"/>
    <col min="22" max="22" width="19.42578125" customWidth="1"/>
    <col min="23" max="23" width="34.42578125" customWidth="1"/>
    <col min="24" max="24" width="32.42578125" customWidth="1"/>
    <col min="25" max="25" width="34" customWidth="1"/>
  </cols>
  <sheetData>
    <row r="1" spans="1:22" ht="55.5" customHeight="1" thickBot="1">
      <c r="A1" s="992" t="s">
        <v>257</v>
      </c>
      <c r="B1" s="993"/>
      <c r="C1" s="993"/>
      <c r="D1" s="994"/>
      <c r="E1" s="994"/>
      <c r="F1" s="994"/>
      <c r="G1" s="993"/>
      <c r="H1" s="993"/>
      <c r="I1" s="993"/>
      <c r="J1" s="994"/>
      <c r="K1" s="994"/>
      <c r="L1" s="994"/>
      <c r="M1" s="994"/>
      <c r="N1" s="994"/>
      <c r="O1" s="994"/>
      <c r="P1" s="994"/>
      <c r="Q1" s="994"/>
      <c r="R1" s="995"/>
    </row>
    <row r="2" spans="1:22" s="417" customFormat="1" ht="51.95" customHeight="1" thickBot="1">
      <c r="A2" s="996" t="s">
        <v>258</v>
      </c>
      <c r="B2" s="997"/>
      <c r="C2" s="563" t="s">
        <v>259</v>
      </c>
      <c r="D2" s="1002" t="s">
        <v>260</v>
      </c>
      <c r="E2" s="1003"/>
      <c r="F2" s="1004"/>
      <c r="G2" s="562"/>
      <c r="H2" s="562"/>
      <c r="I2" s="562"/>
      <c r="J2" s="424"/>
      <c r="K2" s="424"/>
      <c r="L2" s="425"/>
      <c r="M2" s="425"/>
      <c r="N2" s="425"/>
      <c r="O2" s="424"/>
    </row>
    <row r="3" spans="1:22" s="417" customFormat="1" ht="83.45" customHeight="1">
      <c r="A3" s="998" t="s">
        <v>261</v>
      </c>
      <c r="B3" s="999"/>
      <c r="C3" s="564">
        <f>'1-Investissements'!AB109+'2-Frais généraux'!Z105+'3-Contributions en nature'!I105+'4-Amortissement'!O105+'5-Tx forf personnel+autoconst'!F15+'6-Coût unitaire bananes'!E25+'7-Coût unitaire cannes à sucre'!F25</f>
        <v>0</v>
      </c>
      <c r="D3" s="1005"/>
      <c r="E3" s="1006"/>
      <c r="F3" s="1007"/>
      <c r="G3" s="562"/>
      <c r="H3" s="562"/>
      <c r="I3" s="562"/>
      <c r="J3" s="424"/>
      <c r="K3" s="424"/>
      <c r="L3" s="425"/>
      <c r="M3" s="425"/>
      <c r="N3" s="425"/>
      <c r="O3" s="424"/>
    </row>
    <row r="4" spans="1:22" s="417" customFormat="1" ht="36.950000000000003" customHeight="1" thickBot="1">
      <c r="A4" s="1000" t="s">
        <v>262</v>
      </c>
      <c r="B4" s="1001"/>
      <c r="C4" s="565">
        <f>'1-Investissements'!AC109+'2-Frais généraux'!AA105</f>
        <v>0</v>
      </c>
      <c r="D4" s="1008"/>
      <c r="E4" s="1009"/>
      <c r="F4" s="1010"/>
      <c r="G4" s="562"/>
      <c r="H4" s="562"/>
      <c r="I4" s="562"/>
      <c r="J4" s="424"/>
      <c r="K4" s="424"/>
      <c r="L4" s="426"/>
      <c r="M4" s="426"/>
      <c r="N4" s="426"/>
      <c r="O4" s="424"/>
    </row>
    <row r="5" spans="1:22" s="417" customFormat="1" ht="77.25" customHeight="1" thickBot="1">
      <c r="A5" s="1045" t="s">
        <v>263</v>
      </c>
      <c r="B5" s="1046"/>
      <c r="C5" s="449">
        <f>SUM(C3:C4)</f>
        <v>0</v>
      </c>
      <c r="D5" s="1058" t="s">
        <v>264</v>
      </c>
      <c r="E5" s="1059"/>
      <c r="F5" s="566" t="str">
        <f>IF((SUMIFS('1-Investissements'!$AB$9:$AB$108,'1-Investissements'!$E$9:$E$108,'Syn pf Bénéficiaire'!A30)+SUMIFS('2-Frais généraux'!$Z$5:$Z$104,'2-Frais généraux'!$D$5:$D$104,'Syn pf Bénéficiaire'!A30)+SUMIFS('3-Contributions en nature'!$I$5:$I$104,'3-Contributions en nature'!$C$5:$C$104,'Syn pf Bénéficiaire'!A30)+SUMIFS('4-Amortissement'!$O$5:$O$104,'4-Amortissement'!$C$5:$C$104,'Syn pf Bénéficiaire'!A30)+SUMIFS('5-Tx forf personnel+autoconst'!$F$6:$F$14,'5-Tx forf personnel+autoconst'!$B$6:$B$14,'Syn pf Bénéficiaire'!A30)+SUMIFS('6-Coût unitaire bananes'!$E$5:$E$24,'6-Coût unitaire bananes'!$B$5:$B$24,'Syn pf Bénéficiaire'!A30)+SUMIFS('7-Coût unitaire cannes à sucre'!$F$5:$F$24,'7-Coût unitaire cannes à sucre'!$B$5:$B$24,'Syn pf Bénéficiaire'!A30))&gt;=5000,"Seuil respecté","Le seuil n’étant pas atteint, les dépenses associées à ce type d'action seront jugées inéligibles à l'instruction")</f>
        <v>Le seuil n’étant pas atteint, les dépenses associées à ce type d'action seront jugées inéligibles à l'instruction</v>
      </c>
      <c r="J5" s="424"/>
      <c r="K5" s="424"/>
      <c r="L5" s="424"/>
      <c r="M5" s="424"/>
      <c r="N5" s="424"/>
      <c r="O5" s="424"/>
    </row>
    <row r="6" spans="1:22" s="417" customFormat="1" ht="92.45" customHeight="1" thickBot="1">
      <c r="A6" s="1049"/>
      <c r="B6" s="1049"/>
      <c r="C6" s="447"/>
      <c r="D6" s="1060" t="s">
        <v>265</v>
      </c>
      <c r="E6" s="1061"/>
      <c r="F6" s="404" t="str">
        <f>IF((SUMIFS('1-Investissements'!$AB$9:$AB$108,'1-Investissements'!$E$9:$E$108,"&lt;&gt;Plantations pérennes")+SUMIFS('2-Frais généraux'!$Z$5:$Z$104,'2-Frais généraux'!$D$5:$D$104,"&lt;&gt;Plantations pérennes")+SUMIFS('3-Contributions en nature'!$I$5:$I$104,'3-Contributions en nature'!$C$5:$C$104,"&lt;&gt;Plantations pérennes")+SUMIFS('4-Amortissement'!$O$5:$O$104,'4-Amortissement'!$C$5:$C$104,"&lt;&gt;Plantations pérennes")+SUMIFS('5-Tx forf personnel+autoconst'!$F$6:$F$14,'5-Tx forf personnel+autoconst'!$B$6:$B$14,"&lt;&gt;Plantations pérennes")+SUMIFS('6-Coût unitaire bananes'!$E$5:$E$24,'6-Coût unitaire bananes'!$B$5:$B$24,"&lt;&gt;Plantations pérennes")+SUMIFS('7-Coût unitaire cannes à sucre'!$F$5:$F$24,'7-Coût unitaire cannes à sucre'!$B$5:$B$24,"&lt;&gt;Plantations pérennes"))&gt;=15000,"Seuil respecté","Le seuil n’étant pas atteint, les dépenses associées aux types d'actions hors plantations pérennes seront jugées inéligibles à l'instruction")</f>
        <v>Le seuil n’étant pas atteint, les dépenses associées aux types d'actions hors plantations pérennes seront jugées inéligibles à l'instruction</v>
      </c>
      <c r="H6" s="1066" t="s">
        <v>266</v>
      </c>
      <c r="I6" s="1071" t="s">
        <v>267</v>
      </c>
      <c r="J6" s="1073" t="s">
        <v>268</v>
      </c>
      <c r="K6" s="1062" t="s">
        <v>269</v>
      </c>
      <c r="L6" s="1062" t="s">
        <v>270</v>
      </c>
      <c r="M6" s="1062" t="s">
        <v>271</v>
      </c>
      <c r="N6" s="1062" t="s">
        <v>272</v>
      </c>
      <c r="O6" s="1064" t="s">
        <v>273</v>
      </c>
      <c r="P6" s="1064"/>
      <c r="Q6" s="1065"/>
      <c r="V6" s="424"/>
    </row>
    <row r="7" spans="1:22" s="417" customFormat="1" ht="117.95" customHeight="1" thickBot="1">
      <c r="A7" s="1049"/>
      <c r="B7" s="1049"/>
      <c r="C7" s="447"/>
      <c r="D7" s="1020" t="s">
        <v>274</v>
      </c>
      <c r="E7" s="1021"/>
      <c r="F7" s="404" t="str">
        <f>IF(C3&gt;4500000,"L'opération est inéligible","Règle respectée")</f>
        <v>Règle respectée</v>
      </c>
      <c r="H7" s="1067"/>
      <c r="I7" s="1072"/>
      <c r="J7" s="1074"/>
      <c r="K7" s="1063"/>
      <c r="L7" s="1063"/>
      <c r="M7" s="1063"/>
      <c r="N7" s="1063"/>
      <c r="O7" s="427" t="s">
        <v>275</v>
      </c>
      <c r="P7" s="427" t="s">
        <v>276</v>
      </c>
      <c r="Q7" s="605" t="s">
        <v>277</v>
      </c>
    </row>
    <row r="8" spans="1:22" s="417" customFormat="1" ht="129.75" customHeight="1" thickBot="1">
      <c r="A8" s="1048"/>
      <c r="B8" s="1048"/>
      <c r="C8" s="447"/>
      <c r="D8" s="1020" t="s">
        <v>278</v>
      </c>
      <c r="E8" s="1021"/>
      <c r="F8" s="404" t="str">
        <f>IF((SUMIFS('1-Investissements'!$AB$9:$AB$108,'1-Investissements'!$E$9:$E$108,'Syn pf Bénéficiaire'!A35)+SUMIFS('2-Frais généraux'!$Z$5:$Z$104,'2-Frais généraux'!$D$5:$D$104,'Syn pf Bénéficiaire'!A35)+SUMIFS('3-Contributions en nature'!$I$5:$I$104,'3-Contributions en nature'!$C$5:$C$104,'Syn pf Bénéficiaire'!A35)+SUMIFS('4-Amortissement'!$O$5:$O$104,'4-Amortissement'!$C$5:$C$104,'Syn pf Bénéficiaire'!A35)+SUMIFS('5-Tx forf personnel+autoconst'!$F$6:$F$14,'5-Tx forf personnel+autoconst'!$B$6:$B$14,'Syn pf Bénéficiaire'!A35)+SUMIFS('6-Coût unitaire bananes'!$E$5:$E$24,'6-Coût unitaire bananes'!$B$5:$B$24,'Syn pf Bénéficiaire'!A35)+SUMIFS('7-Coût unitaire cannes à sucre'!$F$5:$F$24,'7-Coût unitaire cannes à sucre'!$B$5:$B$24,'Syn pf Bénéficiaire'!A35))&gt;500000,"La règle n’étant pas respectée, les dépenses associées à ce type d'action seront jugées inéligibles à l'instruction","Règle respectée")</f>
        <v>Règle respectée</v>
      </c>
      <c r="H8" s="1067"/>
      <c r="I8" s="428" t="s">
        <v>279</v>
      </c>
      <c r="J8" s="429">
        <f>IF(C3=0,0,IF(F7="Règle respectée",SUMIF('1-Investissements'!C9:C108,"Non",'1-Investissements'!AD9:AD108)-IF(F5="Seuil respecté",0,SUMIFS('1-Investissements'!AD9:AD108,'1-Investissements'!E9:E108,A30,'1-Investissements'!C9:C108,"Non"))+IF(F6="Seuil respecté",0,SUMIFS('1-Investissements'!AD9:AD108,'1-Investissements'!E9:E108,A30,'1-Investissements'!C9:C108,"Non")-SUMIF('1-Investissements'!C9:C108,"Non",'1-Investissements'!AD9:AD108))-IF(F8="Règle respectée",0,SUMIFS('1-Investissements'!AD9:AD108,'1-Investissements'!E9:E108,A35,'1-Investissements'!AD9:AD108,"Non"))-IF(F9="Règle respectée",0,SUMIFS('1-Investissements'!AD9:AD108,'1-Investissements'!E9:E108,A36,'1-Investissements'!C9:C108,"Non")),0))</f>
        <v>0</v>
      </c>
      <c r="K8" s="429">
        <f>IF(C3=0,0,IF(F7="Règle respectée",SUMIF('1-Investissements'!C9:C108,"Oui",'1-Investissements'!AD9:AD108)-IF(F5="Seuil respecté",0,SUMIFS('1-Investissements'!AD9:AD108,'1-Investissements'!E9:E108,A30,'1-Investissements'!C9:C108,"Oui"))+IF(F6="Seuil respecté",0,SUMIFS('1-Investissements'!AD9:AD108,'1-Investissements'!E9:E108,A30,'1-Investissements'!C9:C108,"Oui")-SUMIF('1-Investissements'!C9:C108,"Oui",'1-Investissements'!AD9:AD108))-IF(F8="Règle respectée",0,SUMIFS('1-Investissements'!AD9:AD108,'1-Investissements'!E9:E108,A35,'1-Investissements'!AD9:AD108,"Oui"))-IF(F9="Règle respectée",0,SUMIFS('1-Investissements'!AD9:AD108,'1-Investissements'!E9:E108,A36,'1-Investissements'!C9:C108,"Oui")),0))</f>
        <v>0</v>
      </c>
      <c r="L8" s="430">
        <f>IF(C3=0,0,IF(F7="Règle respectée",'2-Frais généraux'!AB105-IF(F5="Seuil respecté",0,SUMIF('2-Frais généraux'!D5:D104,A30,'2-Frais généraux'!AB5:AB104))+IF(F6="Seuil respecté",0,SUMIF('2-Frais généraux'!D5:D104,A30,'2-Frais généraux'!AB5:AB104)-'2-Frais généraux'!AB105)-IF(F8="Règle respectée",0,SUMIF('2-Frais généraux'!D5:D104,A35,'2-Frais généraux'!AB5:AB104))-IF(F9="Règle respectée",0,SUMIF('2-Frais généraux'!D5:D104,A36,'2-Frais généraux'!AB5:AB104)),0))</f>
        <v>0</v>
      </c>
      <c r="M8" s="430">
        <f>IF(C3=0,0,IF(F7="Règle respectée",'3-Contributions en nature'!I105-IF(F5="Seuil respecté",0,SUMIF('3-Contributions en nature'!C5:C104,A30,'3-Contributions en nature'!I5:I104))+IF(F6="Seuil respecté",0,SUMIF('3-Contributions en nature'!C5:C104,A30,'3-Contributions en nature'!I5:I104)-'3-Contributions en nature'!I105)-IF(F8="Règle respectée",0,SUMIF('3-Contributions en nature'!C5:C104,A35,'3-Contributions en nature'!I5:I104))-IF(F9="Règle respectée",0,SUMIF('3-Contributions en nature'!C5:C104,A36,'3-Contributions en nature'!I5:I104)),0))</f>
        <v>0</v>
      </c>
      <c r="N8" s="430" cm="1">
        <f t="array" ref="N8">IF(C3=0,0,IF(F7="Règle respectée",'4-Amortissement'!O105-IF(F5="Seuil respecté",0,SUMIF('4-Amortissement'!C5:C104,A30,'4-Amortissement'!O5:O104))+IF(F6="Seuil respecté",0,SUMIF('4-Amortissement'!C5:C104,A30,'4-Amortissement'!O5:O104)-'4-Amortissement'!O105)-IF(F8="Règle respectée",0,SUMIF('4-Amortissement'!C5:C104,A35,'4-Amortissement'!O5:O104))-IF(F9="Règle respectée",0,SUMIF('4-Amortissement'!C5:C1043,'4-Amortissement'!O5:O104)),0))</f>
        <v>0</v>
      </c>
      <c r="O8" s="430">
        <f>IF(C3=0,0,IF(F7="Règle respectée",'5-Tx forf personnel+autoconst'!F15-IF(F5="Seuil respecté",0,SUMIF('5-Tx forf personnel+autoconst'!B6:B14,A30,'5-Tx forf personnel+autoconst'!F6:F14))+IF(F6="Seuil respecté",0,SUMIF('5-Tx forf personnel+autoconst'!B6:B14,A30,'5-Tx forf personnel+autoconst'!F6:F14)-'5-Tx forf personnel+autoconst'!F15)-IF(F8="Règle respectée",0,SUMIF('5-Tx forf personnel+autoconst'!B6:B14,A35,'5-Tx forf personnel+autoconst'!F6:F14))-IF(F9="Règle respectée",0,SUMIF('5-Tx forf personnel+autoconst'!B6:B14,A36,'5-Tx forf personnel+autoconst'!F6:F14)),0))</f>
        <v>0</v>
      </c>
      <c r="P8" s="430">
        <f>IF(C3=0,0,IF(F7="Règle respectée",'6-Coût unitaire bananes'!E25-IF(F5="Seuil respecté",0,SUMIF('6-Coût unitaire bananes'!B5:B24,A30,'6-Coût unitaire bananes'!E5:E24))+IF(F6="Seuil respecté",0,SUMIF('6-Coût unitaire bananes'!B5:B24,A30,'6-Coût unitaire bananes'!E5:E24)-'6-Coût unitaire bananes'!E25)-IF(F8="Règle respectée",0,SUMIF('6-Coût unitaire bananes'!B5:B24,A35,'6-Coût unitaire bananes'!E5:E24))-IF(F9="Règle respectée",0,SUMIF('6-Coût unitaire bananes'!B5:B24,A36,'6-Coût unitaire bananes'!E5:E24)),0))</f>
        <v>0</v>
      </c>
      <c r="Q8" s="450">
        <f>IF(C3=0,0,IF(F7="Règle respectée",'7-Coût unitaire cannes à sucre'!F25-IF(F5="Seuil respecté",0,SUMIF('7-Coût unitaire cannes à sucre'!B5:B24,A30,'7-Coût unitaire cannes à sucre'!F5:F24))+IF(F6="Seuil respecté",0,SUMIF('7-Coût unitaire cannes à sucre'!B5:B24,A30,'7-Coût unitaire cannes à sucre'!F5:F24)-'7-Coût unitaire cannes à sucre'!F25)-IF(F8="Règle respectée",0,SUMIF('7-Coût unitaire cannes à sucre'!B5:B24,A35,'7-Coût unitaire cannes à sucre'!F5:F24))-IF(F9="Règle respectée",0,SUMIF('7-Coût unitaire cannes à sucre'!B5:B24,A36,'7-Coût unitaire cannes à sucre'!F5:F24)),0))</f>
        <v>0</v>
      </c>
    </row>
    <row r="9" spans="1:22" s="417" customFormat="1" ht="96.95" customHeight="1" thickBot="1">
      <c r="A9" s="448"/>
      <c r="B9" s="448"/>
      <c r="C9" s="447"/>
      <c r="D9" s="1022" t="s">
        <v>280</v>
      </c>
      <c r="E9" s="1023"/>
      <c r="F9" s="606" t="str">
        <f>IF((SUMIFS('1-Investissements'!$AB$9:$AB$108,'1-Investissements'!$E$9:$E$108,'Syn pf Bénéficiaire'!A36)+SUMIFS('2-Frais généraux'!$Z$5:$Z$104,'2-Frais généraux'!$D$5:$D$104,'Syn pf Bénéficiaire'!A36)+SUMIFS('3-Contributions en nature'!$I$5:$I$104,'3-Contributions en nature'!$C$5:$C$104,'Syn pf Bénéficiaire'!A36)+SUMIFS('4-Amortissement'!$O$5:$O$104,'4-Amortissement'!$C$5:$C$104,'Syn pf Bénéficiaire'!A36)+SUMIFS('5-Tx forf personnel+autoconst'!$F$6:$F$14,'5-Tx forf personnel+autoconst'!$B$6:$B$14,'Syn pf Bénéficiaire'!A36)+SUMIFS('6-Coût unitaire bananes'!$E$5:$E$24,'6-Coût unitaire bananes'!$B$5:$B$24,'Syn pf Bénéficiaire'!A36)+SUMIFS('7-Coût unitaire cannes à sucre'!$F$5:$F$24,'7-Coût unitaire cannes à sucre'!$B$5:$B$24,'Syn pf Bénéficiaire'!A36))&gt;250000,"La règle n’étant pas respectée, les dépenses associées à ce type d'action seront jugées inéligibles à l'instruction","Règle respectée")</f>
        <v>Règle respectée</v>
      </c>
      <c r="H9" s="1068"/>
      <c r="I9" s="451" t="s">
        <v>281</v>
      </c>
      <c r="J9" s="1035">
        <f>SUM(J8:Q8)</f>
        <v>0</v>
      </c>
      <c r="K9" s="1036"/>
      <c r="L9" s="1036"/>
      <c r="M9" s="1036"/>
      <c r="N9" s="1036"/>
      <c r="O9" s="1036"/>
      <c r="P9" s="1036"/>
      <c r="Q9" s="1037"/>
    </row>
    <row r="10" spans="1:22" s="417" customFormat="1" ht="119.25" customHeight="1" thickBot="1">
      <c r="A10" s="1047"/>
      <c r="B10" s="1047"/>
      <c r="C10" s="447"/>
      <c r="D10" s="1069" t="s">
        <v>282</v>
      </c>
      <c r="E10" s="1070"/>
      <c r="F10" s="899">
        <f>IF($B$37=0,0,IF($B$37&lt;$E$37+$D$20+$M$8,"Non, l'aide publique doit diminuer","Oui"))</f>
        <v>0</v>
      </c>
      <c r="J10" s="424"/>
      <c r="K10" s="424"/>
      <c r="L10" s="424"/>
      <c r="M10" s="424"/>
      <c r="N10" s="424"/>
      <c r="O10" s="424"/>
    </row>
    <row r="11" spans="1:22" ht="83.25" customHeight="1" thickBot="1">
      <c r="A11" s="44"/>
      <c r="B11" s="44"/>
      <c r="C11" s="44"/>
      <c r="D11" s="1028" t="s">
        <v>283</v>
      </c>
      <c r="E11" s="1029"/>
      <c r="F11" s="607">
        <f>IF($C$5="",0,$B$37-$E$37)</f>
        <v>0</v>
      </c>
    </row>
    <row r="12" spans="1:22" ht="26.45" customHeight="1">
      <c r="A12" s="44"/>
      <c r="B12" s="44"/>
      <c r="C12" s="44"/>
      <c r="D12" s="44"/>
    </row>
    <row r="13" spans="1:22" ht="24" customHeight="1" thickBot="1">
      <c r="A13" s="44"/>
      <c r="B13" s="44"/>
      <c r="C13" s="44"/>
      <c r="D13" s="44"/>
    </row>
    <row r="14" spans="1:22" ht="120.95" customHeight="1" thickBot="1">
      <c r="A14" s="1030" t="s">
        <v>284</v>
      </c>
      <c r="B14" s="1031"/>
      <c r="C14" s="1031"/>
      <c r="D14" s="1031"/>
      <c r="E14" s="1031"/>
      <c r="F14" s="1032"/>
      <c r="G14" s="44"/>
      <c r="H14" s="1030" t="s">
        <v>285</v>
      </c>
      <c r="I14" s="1031"/>
      <c r="J14" s="1031"/>
      <c r="K14" s="1032"/>
    </row>
    <row r="15" spans="1:22" s="417" customFormat="1" ht="111" customHeight="1" thickBot="1">
      <c r="A15" s="452" t="s">
        <v>286</v>
      </c>
      <c r="B15" s="1050" t="s">
        <v>287</v>
      </c>
      <c r="C15" s="1052" t="s">
        <v>288</v>
      </c>
      <c r="D15" s="431" t="s">
        <v>289</v>
      </c>
      <c r="E15" s="1054" t="s">
        <v>290</v>
      </c>
      <c r="F15" s="1056" t="s">
        <v>291</v>
      </c>
      <c r="G15" s="424"/>
      <c r="H15" s="461" t="s">
        <v>292</v>
      </c>
      <c r="I15" s="462">
        <f>B37</f>
        <v>0</v>
      </c>
      <c r="J15" s="463" t="s">
        <v>293</v>
      </c>
      <c r="K15" s="464">
        <f>J37+M37+P37+R37+D20+Q37</f>
        <v>0</v>
      </c>
      <c r="L15" s="424"/>
      <c r="M15" s="424"/>
      <c r="N15" s="424"/>
      <c r="O15" s="424"/>
    </row>
    <row r="16" spans="1:22" s="417" customFormat="1" ht="101.25" customHeight="1" thickBot="1">
      <c r="A16" s="453" t="s">
        <v>294</v>
      </c>
      <c r="B16" s="1051"/>
      <c r="C16" s="1053"/>
      <c r="D16" s="432" t="s">
        <v>295</v>
      </c>
      <c r="E16" s="1055"/>
      <c r="F16" s="1057"/>
      <c r="G16" s="424"/>
      <c r="H16" s="1033" t="s">
        <v>296</v>
      </c>
      <c r="I16" s="1034"/>
      <c r="J16" s="1033" t="s">
        <v>297</v>
      </c>
      <c r="K16" s="1034"/>
      <c r="L16" s="424"/>
      <c r="M16" s="424"/>
      <c r="N16" s="424"/>
      <c r="O16" s="424"/>
    </row>
    <row r="17" spans="1:25" s="417" customFormat="1" ht="36.950000000000003" customHeight="1">
      <c r="A17" s="454"/>
      <c r="B17" s="409"/>
      <c r="C17" s="410"/>
      <c r="D17" s="408"/>
      <c r="E17" s="409"/>
      <c r="F17" s="455"/>
      <c r="G17" s="424"/>
      <c r="H17" s="411" t="s">
        <v>298</v>
      </c>
      <c r="I17" s="412">
        <f>J37</f>
        <v>0</v>
      </c>
      <c r="J17" s="413" t="s">
        <v>299</v>
      </c>
      <c r="K17" s="399">
        <f>D17</f>
        <v>0</v>
      </c>
      <c r="L17" s="424"/>
      <c r="M17" s="424"/>
      <c r="N17" s="424"/>
      <c r="O17" s="424"/>
    </row>
    <row r="18" spans="1:25" s="417" customFormat="1" ht="36.950000000000003" customHeight="1">
      <c r="A18" s="454"/>
      <c r="B18" s="409"/>
      <c r="C18" s="410"/>
      <c r="D18" s="408"/>
      <c r="E18" s="409"/>
      <c r="F18" s="455"/>
      <c r="G18" s="424"/>
      <c r="H18" s="414" t="s">
        <v>300</v>
      </c>
      <c r="I18" s="415">
        <f>O37</f>
        <v>0</v>
      </c>
      <c r="J18" s="413" t="s">
        <v>301</v>
      </c>
      <c r="K18" s="399">
        <f t="shared" ref="K18:K19" si="0">D18</f>
        <v>0</v>
      </c>
      <c r="L18" s="424"/>
      <c r="M18" s="424"/>
      <c r="N18" s="424"/>
      <c r="O18" s="424"/>
    </row>
    <row r="19" spans="1:25" s="417" customFormat="1" ht="36.950000000000003" customHeight="1" thickBot="1">
      <c r="A19" s="456"/>
      <c r="B19" s="457"/>
      <c r="C19" s="458"/>
      <c r="D19" s="459"/>
      <c r="E19" s="457"/>
      <c r="F19" s="460"/>
      <c r="G19" s="424"/>
      <c r="H19" s="413" t="s">
        <v>302</v>
      </c>
      <c r="I19" s="415">
        <f>A17</f>
        <v>0</v>
      </c>
      <c r="J19" s="413" t="s">
        <v>303</v>
      </c>
      <c r="K19" s="399">
        <f t="shared" si="0"/>
        <v>0</v>
      </c>
      <c r="L19" s="424"/>
      <c r="M19" s="424"/>
      <c r="N19" s="424"/>
      <c r="O19" s="424"/>
    </row>
    <row r="20" spans="1:25" s="417" customFormat="1" ht="36.950000000000003" customHeight="1" thickBot="1">
      <c r="A20" s="465">
        <f>SUM(A17:A19)</f>
        <v>0</v>
      </c>
      <c r="B20" s="163"/>
      <c r="C20" s="163"/>
      <c r="D20" s="465">
        <f>SUM(D17:D19)</f>
        <v>0</v>
      </c>
      <c r="E20" s="424"/>
      <c r="F20" s="424"/>
      <c r="G20" s="424"/>
      <c r="H20" s="413" t="s">
        <v>304</v>
      </c>
      <c r="I20" s="415">
        <f t="shared" ref="I20:I21" si="1">A18</f>
        <v>0</v>
      </c>
      <c r="J20" s="413" t="s">
        <v>305</v>
      </c>
      <c r="K20" s="399">
        <f>R37</f>
        <v>0</v>
      </c>
      <c r="L20" s="424"/>
      <c r="M20" s="424"/>
      <c r="N20" s="424"/>
      <c r="O20" s="424"/>
    </row>
    <row r="21" spans="1:25" s="417" customFormat="1" ht="36.950000000000003" customHeight="1">
      <c r="A21" s="433"/>
      <c r="B21" s="434"/>
      <c r="C21" s="435"/>
      <c r="D21" s="424"/>
      <c r="E21" s="424"/>
      <c r="F21" s="424"/>
      <c r="G21" s="424"/>
      <c r="H21" s="413" t="s">
        <v>306</v>
      </c>
      <c r="I21" s="415">
        <f t="shared" si="1"/>
        <v>0</v>
      </c>
      <c r="J21" s="416"/>
      <c r="L21" s="424"/>
      <c r="M21" s="424"/>
      <c r="N21" s="424"/>
      <c r="O21" s="424"/>
    </row>
    <row r="22" spans="1:25" ht="26.45" customHeight="1">
      <c r="H22" s="405"/>
      <c r="I22" s="406"/>
      <c r="J22" s="407"/>
    </row>
    <row r="23" spans="1:25" ht="26.45" customHeight="1">
      <c r="H23" s="405"/>
      <c r="I23" s="406"/>
      <c r="J23" s="407"/>
    </row>
    <row r="24" spans="1:25" ht="26.45" customHeight="1" thickBot="1">
      <c r="A24" s="44"/>
      <c r="B24" s="44"/>
      <c r="C24" s="44"/>
      <c r="D24" s="44"/>
    </row>
    <row r="25" spans="1:25" ht="66.95" customHeight="1" thickBot="1">
      <c r="A25" s="1042" t="s">
        <v>307</v>
      </c>
      <c r="B25" s="1043"/>
      <c r="C25" s="1044"/>
      <c r="D25" s="1026" t="s">
        <v>308</v>
      </c>
      <c r="E25" s="1027"/>
      <c r="F25" s="1027"/>
      <c r="G25" s="1027"/>
      <c r="H25" s="1027"/>
      <c r="I25" s="1027"/>
      <c r="J25" s="1027"/>
      <c r="K25" s="1027"/>
      <c r="L25" s="1027"/>
      <c r="M25" s="1027"/>
      <c r="N25" s="1027"/>
      <c r="O25" s="1027"/>
      <c r="P25" s="1027"/>
      <c r="Q25" s="1027"/>
      <c r="R25" s="1027"/>
      <c r="S25" s="1027"/>
      <c r="T25" s="421"/>
      <c r="U25" s="421"/>
      <c r="V25" s="163"/>
      <c r="W25" s="163"/>
      <c r="X25" s="163"/>
      <c r="Y25" s="163"/>
    </row>
    <row r="26" spans="1:25" s="422" customFormat="1" ht="101.45" customHeight="1">
      <c r="A26" s="1040" t="s">
        <v>21</v>
      </c>
      <c r="B26" s="418" t="s">
        <v>309</v>
      </c>
      <c r="C26" s="1038" t="s">
        <v>310</v>
      </c>
      <c r="D26" s="466" t="s">
        <v>311</v>
      </c>
      <c r="E26" s="418" t="s">
        <v>312</v>
      </c>
      <c r="F26" s="1024" t="s">
        <v>313</v>
      </c>
      <c r="G26" s="418" t="s">
        <v>314</v>
      </c>
      <c r="H26" s="418" t="s">
        <v>315</v>
      </c>
      <c r="I26" s="419" t="s">
        <v>316</v>
      </c>
      <c r="J26" s="419" t="s">
        <v>317</v>
      </c>
      <c r="K26" s="419" t="s">
        <v>318</v>
      </c>
      <c r="L26" s="419" t="s">
        <v>319</v>
      </c>
      <c r="M26" s="419" t="s">
        <v>320</v>
      </c>
      <c r="N26" s="419" t="s">
        <v>321</v>
      </c>
      <c r="O26" s="419" t="s">
        <v>322</v>
      </c>
      <c r="P26" s="419" t="s">
        <v>323</v>
      </c>
      <c r="Q26" s="419" t="s">
        <v>324</v>
      </c>
      <c r="R26" s="419" t="s">
        <v>325</v>
      </c>
      <c r="S26" s="420" t="s">
        <v>326</v>
      </c>
      <c r="T26" s="421"/>
      <c r="U26" s="421"/>
      <c r="V26" s="421"/>
      <c r="W26" s="421"/>
      <c r="X26" s="421"/>
      <c r="Y26" s="421"/>
    </row>
    <row r="27" spans="1:25" s="422" customFormat="1" ht="409.5" customHeight="1" thickBot="1">
      <c r="A27" s="1041"/>
      <c r="B27" s="590" t="s">
        <v>327</v>
      </c>
      <c r="C27" s="1039"/>
      <c r="D27" s="467" t="s">
        <v>328</v>
      </c>
      <c r="E27" s="423" t="s">
        <v>329</v>
      </c>
      <c r="F27" s="1025"/>
      <c r="G27" s="642" t="s">
        <v>330</v>
      </c>
      <c r="H27" s="643" t="s">
        <v>331</v>
      </c>
      <c r="I27" s="644" t="s">
        <v>332</v>
      </c>
      <c r="J27" s="643" t="s">
        <v>333</v>
      </c>
      <c r="K27" s="644" t="s">
        <v>334</v>
      </c>
      <c r="L27" s="644" t="s">
        <v>335</v>
      </c>
      <c r="M27" s="643"/>
      <c r="N27" s="641" t="s">
        <v>336</v>
      </c>
      <c r="O27" s="423" t="s">
        <v>337</v>
      </c>
      <c r="P27" s="423"/>
      <c r="Q27" s="423"/>
      <c r="R27" s="423" t="s">
        <v>338</v>
      </c>
      <c r="S27" s="589"/>
      <c r="T27" s="421"/>
      <c r="U27" s="421"/>
      <c r="V27" s="421"/>
      <c r="W27" s="421"/>
      <c r="X27" s="421"/>
      <c r="Y27" s="421"/>
    </row>
    <row r="28" spans="1:25" s="417" customFormat="1" ht="29.45" customHeight="1">
      <c r="A28" s="440" t="s">
        <v>27</v>
      </c>
      <c r="B28" s="441">
        <f>IF(AND($F$6="Seuil respecté",$F$7="Règle respectée"),SUMIFS('1-Investissements'!$AD$9:$AD$108,'1-Investissements'!$E$9:$E$108,A28)+SUMIFS('2-Frais généraux'!$AB$5:$AB$104,'2-Frais généraux'!$D$5:$D$104,A28)+SUMIFS('3-Contributions en nature'!$I$5:$I$104,'3-Contributions en nature'!$C$5:$C$104,A28)+SUMIFS('4-Amortissement'!$O$5:$O$104,'4-Amortissement'!$C$5:$C$104,A28)+SUMIFS('5-Tx forf personnel+autoconst'!$F$6:$F$14,'5-Tx forf personnel+autoconst'!$B$6:$B$14,A28)+SUMIFS('6-Coût unitaire bananes'!$E$5:$E$24,'6-Coût unitaire bananes'!$B$5:$B$24,A28)+SUMIFS('7-Coût unitaire cannes à sucre'!$F$5:$F$24,'7-Coût unitaire cannes à sucre'!$B$5:$B$24,A28),0)</f>
        <v>0</v>
      </c>
      <c r="C28" s="470">
        <f>IF(B28=0,0,B28/$B$37)</f>
        <v>0</v>
      </c>
      <c r="D28" s="468"/>
      <c r="E28" s="574">
        <f>IF(B28="","",D28*B28)</f>
        <v>0</v>
      </c>
      <c r="F28" s="580">
        <f>IF(B28=0,0,E28/$E$37)</f>
        <v>0</v>
      </c>
      <c r="G28" s="638">
        <f>IF(OR(E28=0,ROUND($A$20+$D$20+$M$8,2)&gt;=ROUND($B$37,2)),0,IF($M$8+$D$20&gt;$F$11,E28-($M$8+$D$20-$F$11)*F28,E28))</f>
        <v>0</v>
      </c>
      <c r="H28" s="639">
        <f t="shared" ref="H28:H37" si="2">IF(B28=0,0,G28/B28)</f>
        <v>0</v>
      </c>
      <c r="I28" s="1017" t="str">
        <f>_xlfn.IFS(A20=0,"Non concerné",A20&lt;(0.15*$G$37),"Non",A20=(0.15*$G$37),"Oui",A20&gt;(0.15*$G$37),"Oui")</f>
        <v>Non concerné</v>
      </c>
      <c r="J28" s="640">
        <f>IF(G28=0,0,IF($I$28="Oui",G28-($A$20*F28),G28*0.85))</f>
        <v>0</v>
      </c>
      <c r="K28" s="1014" t="str">
        <f>IF(G37=0,"",J37/G37)</f>
        <v/>
      </c>
      <c r="L28" s="1011">
        <f>IF(G37=0,0,M37/(J37*100/85))</f>
        <v>0</v>
      </c>
      <c r="M28" s="640">
        <f>IF(J28=0,0,IF($I$28="Oui",0.15*J28/0.85,G28-J28))</f>
        <v>0</v>
      </c>
      <c r="N28" s="616">
        <f>IF(F28=0,0,IF($I$28="Oui",M28,$A$20*F28))</f>
        <v>0</v>
      </c>
      <c r="O28" s="593">
        <f t="shared" ref="O28:O37" si="3">IF(M28=0,0,M28-N28)</f>
        <v>0</v>
      </c>
      <c r="P28" s="585">
        <f t="shared" ref="P28:P37" si="4">IF($A$20=0,0,F28*$A$20-N28)</f>
        <v>0</v>
      </c>
      <c r="Q28" s="444">
        <f>SUMIFS('3-Contributions en nature'!$I$5:$I$104,'3-Contributions en nature'!$C$5:$C$104,'Syn pf Bénéficiaire'!A28)</f>
        <v>0</v>
      </c>
      <c r="R28" s="585">
        <f>B28-J28-M28-P28-Q28-$D$20*C28</f>
        <v>0</v>
      </c>
      <c r="S28" s="588">
        <f t="shared" ref="S28:S37" si="5">IF(OR(R28=0, B28=0),0,R28/B28)</f>
        <v>0</v>
      </c>
    </row>
    <row r="29" spans="1:25" s="417" customFormat="1" ht="21.95">
      <c r="A29" s="442" t="s">
        <v>29</v>
      </c>
      <c r="B29" s="436">
        <f>IF(AND($F$6="Seuil respecté",$F$7="Règle respectée"),SUMIFS('1-Investissements'!$AD$9:$AD$108,'1-Investissements'!$E$9:$E$108,A29)+SUMIFS('2-Frais généraux'!$AB$5:$AB$104,'2-Frais généraux'!$D$5:$D$104,A29)+SUMIFS('3-Contributions en nature'!$I$5:$I$104,'3-Contributions en nature'!$C$5:$C$104,A29)+SUMIFS('4-Amortissement'!$O$5:$O$104,'4-Amortissement'!$C$5:$C$104,A29)+SUMIFS('5-Tx forf personnel+autoconst'!$F$6:$F$14,'5-Tx forf personnel+autoconst'!$B$6:$B$14,A29)+SUMIFS('6-Coût unitaire bananes'!$E$5:$E$24,'6-Coût unitaire bananes'!$B$5:$B$24,A29)+SUMIFS('7-Coût unitaire cannes à sucre'!$F$5:$F$24,'7-Coût unitaire cannes à sucre'!$B$5:$B$24,A29),0)</f>
        <v>0</v>
      </c>
      <c r="C29" s="471">
        <f>IF(B29=0,0,B29/$B$37)</f>
        <v>0</v>
      </c>
      <c r="D29" s="576"/>
      <c r="E29" s="579">
        <f t="shared" ref="E29:E36" si="6">IF(B29="","",D29*B29)</f>
        <v>0</v>
      </c>
      <c r="F29" s="577">
        <f t="shared" ref="F29:F37" si="7">IF(B29=0,0,E29/$E$37)</f>
        <v>0</v>
      </c>
      <c r="G29" s="615">
        <f t="shared" ref="G29:G36" si="8">IF(OR(E29=0,ROUND($A$20+$D$20+$M$8,2)&gt;=ROUND($B$37,2)),0,IF($M$8+$D$20&gt;$F$11,E29-($M$8+$D$20-$F$11)*F29,E29))</f>
        <v>0</v>
      </c>
      <c r="H29" s="613">
        <f>IF(B29=0,0,G29/B29)</f>
        <v>0</v>
      </c>
      <c r="I29" s="1018"/>
      <c r="J29" s="587">
        <f>IF(G29=0,0,IF($I$28="Oui",G29-($A$20*F29),G29*0.85))</f>
        <v>0</v>
      </c>
      <c r="K29" s="1015"/>
      <c r="L29" s="1012"/>
      <c r="M29" s="587">
        <f>IF(J29=0,0,IF($I$28="Oui",0.15*J29/0.85,G29-J29))</f>
        <v>0</v>
      </c>
      <c r="N29" s="888">
        <f>IF(F29=0,0,IF($I$28="Oui",M29,$A$20*F29))</f>
        <v>0</v>
      </c>
      <c r="O29" s="890">
        <f t="shared" si="3"/>
        <v>0</v>
      </c>
      <c r="P29" s="587">
        <f t="shared" si="4"/>
        <v>0</v>
      </c>
      <c r="Q29" s="445">
        <f>SUMIFS('3-Contributions en nature'!$I$5:$I$104,'3-Contributions en nature'!$C$5:$C$104,'Syn pf Bénéficiaire'!A29)</f>
        <v>0</v>
      </c>
      <c r="R29" s="587">
        <f t="shared" ref="R29:R37" si="9">B29-J29-M29-P29-Q29-$D$20*C29</f>
        <v>0</v>
      </c>
      <c r="S29" s="891">
        <f t="shared" si="5"/>
        <v>0</v>
      </c>
    </row>
    <row r="30" spans="1:25" s="417" customFormat="1" ht="21.95">
      <c r="A30" s="442" t="s">
        <v>30</v>
      </c>
      <c r="B30" s="436">
        <f>IF(AND($F$5="Seuil respecté",$F$7="Règle respectée"),SUMIFS('1-Investissements'!$AD$9:$AD$108,'1-Investissements'!$E$9:$E$108,A30)+SUMIFS('2-Frais généraux'!$AB$5:$AB$104,'2-Frais généraux'!$D$5:$D$104,A30)+SUMIFS('3-Contributions en nature'!$I$5:$I$104,'3-Contributions en nature'!$C$5:$C$104,A30)+SUMIFS('4-Amortissement'!$O$5:$O$104,'4-Amortissement'!$C$5:$C$104,A30)+SUMIFS('5-Tx forf personnel+autoconst'!$F$6:$F$14,'5-Tx forf personnel+autoconst'!$B$6:$B$14,A30)+SUMIFS('6-Coût unitaire bananes'!$E$5:$E$24,'6-Coût unitaire bananes'!$B$5:$B$24,A30)+SUMIFS('7-Coût unitaire cannes à sucre'!$F$5:$F$24,'7-Coût unitaire cannes à sucre'!$B$5:$B$24,A30),0)</f>
        <v>0</v>
      </c>
      <c r="C30" s="471">
        <f t="shared" ref="C30:C36" si="10">IF(B30=0,0,B30/$B$37)</f>
        <v>0</v>
      </c>
      <c r="D30" s="576"/>
      <c r="E30" s="579">
        <f t="shared" si="6"/>
        <v>0</v>
      </c>
      <c r="F30" s="577">
        <f t="shared" si="7"/>
        <v>0</v>
      </c>
      <c r="G30" s="615">
        <f t="shared" si="8"/>
        <v>0</v>
      </c>
      <c r="H30" s="613">
        <f t="shared" si="2"/>
        <v>0</v>
      </c>
      <c r="I30" s="1018"/>
      <c r="J30" s="587">
        <f>IF(G30=0,0,IF($I$28="Oui",G30-($A$20*F30),G30*0.85))</f>
        <v>0</v>
      </c>
      <c r="K30" s="1015"/>
      <c r="L30" s="1012"/>
      <c r="M30" s="587">
        <f t="shared" ref="M30:M36" si="11">IF(J30="","",IF($I$28="Oui",0.15*J30/0.85,G30-J30))</f>
        <v>0</v>
      </c>
      <c r="N30" s="888">
        <f>IF(F30=0,0,IF($I$28="Oui",M30,$A$20*F30))</f>
        <v>0</v>
      </c>
      <c r="O30" s="890">
        <f t="shared" si="3"/>
        <v>0</v>
      </c>
      <c r="P30" s="587">
        <f t="shared" si="4"/>
        <v>0</v>
      </c>
      <c r="Q30" s="445">
        <f>SUMIFS('3-Contributions en nature'!$I$5:$I$104,'3-Contributions en nature'!$C$5:$C$104,'Syn pf Bénéficiaire'!A30)</f>
        <v>0</v>
      </c>
      <c r="R30" s="587">
        <f t="shared" si="9"/>
        <v>0</v>
      </c>
      <c r="S30" s="891">
        <f t="shared" si="5"/>
        <v>0</v>
      </c>
    </row>
    <row r="31" spans="1:25" s="417" customFormat="1" ht="21.95">
      <c r="A31" s="442" t="s">
        <v>32</v>
      </c>
      <c r="B31" s="436">
        <f>IF(AND($F$6="Seuil respecté",$F$7="Règle respectée"),SUMIFS('1-Investissements'!$AD$9:$AD$108,'1-Investissements'!$E$9:$E$108,A31)+SUMIFS('2-Frais généraux'!$AB$5:$AB$104,'2-Frais généraux'!$D$5:$D$104,A31)+SUMIFS('3-Contributions en nature'!$I$5:$I$104,'3-Contributions en nature'!$C$5:$C$104,A31)+SUMIFS('4-Amortissement'!$O$5:$O$104,'4-Amortissement'!$C$5:$C$104,A31)+SUMIFS('5-Tx forf personnel+autoconst'!$F$6:$F$14,'5-Tx forf personnel+autoconst'!$B$6:$B$14,A31)+SUMIFS('6-Coût unitaire bananes'!$E$5:$E$24,'6-Coût unitaire bananes'!$B$5:$B$24,A31)+SUMIFS('7-Coût unitaire cannes à sucre'!$F$5:$F$24,'7-Coût unitaire cannes à sucre'!$B$5:$B$24,A31),0)</f>
        <v>0</v>
      </c>
      <c r="C31" s="471">
        <f t="shared" si="10"/>
        <v>0</v>
      </c>
      <c r="D31" s="576"/>
      <c r="E31" s="579">
        <f t="shared" si="6"/>
        <v>0</v>
      </c>
      <c r="F31" s="577">
        <f t="shared" si="7"/>
        <v>0</v>
      </c>
      <c r="G31" s="615">
        <f t="shared" si="8"/>
        <v>0</v>
      </c>
      <c r="H31" s="613">
        <f t="shared" si="2"/>
        <v>0</v>
      </c>
      <c r="I31" s="1018"/>
      <c r="J31" s="587">
        <f>IF(G31=0,0,IF($I$28="Oui",G31-($A$20*F31),G31*0.85))</f>
        <v>0</v>
      </c>
      <c r="K31" s="1015"/>
      <c r="L31" s="1012"/>
      <c r="M31" s="587">
        <f t="shared" si="11"/>
        <v>0</v>
      </c>
      <c r="N31" s="888">
        <f t="shared" ref="N31:N37" si="12">IF(F31=0,0,IF($I$28="Oui",M31,$A$20*F31))</f>
        <v>0</v>
      </c>
      <c r="O31" s="890">
        <f t="shared" si="3"/>
        <v>0</v>
      </c>
      <c r="P31" s="587">
        <f t="shared" si="4"/>
        <v>0</v>
      </c>
      <c r="Q31" s="445">
        <f>SUMIFS('3-Contributions en nature'!$I$5:$I$104,'3-Contributions en nature'!$C$5:$C$104,'Syn pf Bénéficiaire'!A31)</f>
        <v>0</v>
      </c>
      <c r="R31" s="587">
        <f>B31-J31-M31-P31-Q31-$D$20*C31</f>
        <v>0</v>
      </c>
      <c r="S31" s="891">
        <f t="shared" si="5"/>
        <v>0</v>
      </c>
    </row>
    <row r="32" spans="1:25" s="417" customFormat="1" ht="21.95">
      <c r="A32" s="442" t="s">
        <v>33</v>
      </c>
      <c r="B32" s="436">
        <f>IF(AND($F$6="Seuil respecté",$F$7="Règle respectée"),SUMIFS('1-Investissements'!$AD$9:$AD$108,'1-Investissements'!$E$9:$E$108,A32)+SUMIFS('2-Frais généraux'!$AB$5:$AB$104,'2-Frais généraux'!$D$5:$D$104,A32)+SUMIFS('3-Contributions en nature'!$I$5:$I$104,'3-Contributions en nature'!$C$5:$C$104,A32)+SUMIFS('4-Amortissement'!$O$5:$O$104,'4-Amortissement'!$C$5:$C$104,A32)+SUMIFS('5-Tx forf personnel+autoconst'!$F$6:$F$14,'5-Tx forf personnel+autoconst'!$B$6:$B$14,A32)+SUMIFS('6-Coût unitaire bananes'!$E$5:$E$24,'6-Coût unitaire bananes'!$B$5:$B$24,A32)+SUMIFS('7-Coût unitaire cannes à sucre'!$F$5:$F$24,'7-Coût unitaire cannes à sucre'!$B$5:$B$24,A32),0)</f>
        <v>0</v>
      </c>
      <c r="C32" s="471">
        <f t="shared" si="10"/>
        <v>0</v>
      </c>
      <c r="D32" s="576"/>
      <c r="E32" s="579">
        <f t="shared" si="6"/>
        <v>0</v>
      </c>
      <c r="F32" s="577">
        <f t="shared" si="7"/>
        <v>0</v>
      </c>
      <c r="G32" s="615">
        <f t="shared" si="8"/>
        <v>0</v>
      </c>
      <c r="H32" s="613">
        <f t="shared" si="2"/>
        <v>0</v>
      </c>
      <c r="I32" s="1018"/>
      <c r="J32" s="587">
        <f t="shared" ref="J32:J36" si="13">IF(G32=0,0,IF($I$28="Oui",G32-($A$20*F32),G32*0.85))</f>
        <v>0</v>
      </c>
      <c r="K32" s="1015"/>
      <c r="L32" s="1012"/>
      <c r="M32" s="587">
        <f t="shared" si="11"/>
        <v>0</v>
      </c>
      <c r="N32" s="888">
        <f t="shared" si="12"/>
        <v>0</v>
      </c>
      <c r="O32" s="890">
        <f t="shared" si="3"/>
        <v>0</v>
      </c>
      <c r="P32" s="587">
        <f t="shared" si="4"/>
        <v>0</v>
      </c>
      <c r="Q32" s="445">
        <f>SUMIFS('3-Contributions en nature'!$I$5:$I$104,'3-Contributions en nature'!$C$5:$C$104,'Syn pf Bénéficiaire'!A32)</f>
        <v>0</v>
      </c>
      <c r="R32" s="587">
        <f t="shared" si="9"/>
        <v>0</v>
      </c>
      <c r="S32" s="891">
        <f t="shared" si="5"/>
        <v>0</v>
      </c>
    </row>
    <row r="33" spans="1:23" s="417" customFormat="1" ht="21.95">
      <c r="A33" s="442" t="s">
        <v>35</v>
      </c>
      <c r="B33" s="436">
        <f>IF(AND($F$6="Seuil respecté",$F$7="Règle respectée"),SUMIFS('1-Investissements'!$AD$9:$AD$108,'1-Investissements'!$E$9:$E$108,A33)+SUMIFS('2-Frais généraux'!$AB$5:$AB$104,'2-Frais généraux'!$D$5:$D$104,A33)+SUMIFS('3-Contributions en nature'!$I$5:$I$104,'3-Contributions en nature'!$C$5:$C$104,A33)+SUMIFS('4-Amortissement'!$O$5:$O$104,'4-Amortissement'!$C$5:$C$104,A33)+SUMIFS('5-Tx forf personnel+autoconst'!$F$6:$F$14,'5-Tx forf personnel+autoconst'!$B$6:$B$14,A33)+SUMIFS('6-Coût unitaire bananes'!$E$5:$E$24,'6-Coût unitaire bananes'!$B$5:$B$24,A33)+SUMIFS('7-Coût unitaire cannes à sucre'!$F$5:$F$24,'7-Coût unitaire cannes à sucre'!$B$5:$B$24,A33),0)</f>
        <v>0</v>
      </c>
      <c r="C33" s="471">
        <f t="shared" si="10"/>
        <v>0</v>
      </c>
      <c r="D33" s="576"/>
      <c r="E33" s="579">
        <f t="shared" si="6"/>
        <v>0</v>
      </c>
      <c r="F33" s="577">
        <f t="shared" si="7"/>
        <v>0</v>
      </c>
      <c r="G33" s="615">
        <f t="shared" si="8"/>
        <v>0</v>
      </c>
      <c r="H33" s="613">
        <f t="shared" si="2"/>
        <v>0</v>
      </c>
      <c r="I33" s="1018"/>
      <c r="J33" s="587">
        <f t="shared" si="13"/>
        <v>0</v>
      </c>
      <c r="K33" s="1015"/>
      <c r="L33" s="1012"/>
      <c r="M33" s="587">
        <f t="shared" si="11"/>
        <v>0</v>
      </c>
      <c r="N33" s="888">
        <f t="shared" si="12"/>
        <v>0</v>
      </c>
      <c r="O33" s="890">
        <f t="shared" si="3"/>
        <v>0</v>
      </c>
      <c r="P33" s="587">
        <f t="shared" si="4"/>
        <v>0</v>
      </c>
      <c r="Q33" s="445">
        <f>SUMIFS('3-Contributions en nature'!$I$5:$I$104,'3-Contributions en nature'!$C$5:$C$104,'Syn pf Bénéficiaire'!A33)</f>
        <v>0</v>
      </c>
      <c r="R33" s="587">
        <f t="shared" si="9"/>
        <v>0</v>
      </c>
      <c r="S33" s="891">
        <f t="shared" si="5"/>
        <v>0</v>
      </c>
    </row>
    <row r="34" spans="1:23" s="417" customFormat="1" ht="21.95">
      <c r="A34" s="442" t="s">
        <v>36</v>
      </c>
      <c r="B34" s="436">
        <f>IF(AND($F$6="Seuil respecté",$F$7="Règle respectée"),SUMIFS('1-Investissements'!$AD$9:$AD$108,'1-Investissements'!$E$9:$E$108,A34)+SUMIFS('2-Frais généraux'!$AB$5:$AB$104,'2-Frais généraux'!$D$5:$D$104,A34)+SUMIFS('3-Contributions en nature'!$I$5:$I$104,'3-Contributions en nature'!$C$5:$C$104,A34)+SUMIFS('4-Amortissement'!$O$5:$O$104,'4-Amortissement'!$C$5:$C$104,A34)+SUMIFS('5-Tx forf personnel+autoconst'!$F$6:$F$14,'5-Tx forf personnel+autoconst'!$B$6:$B$14,A34)+SUMIFS('6-Coût unitaire bananes'!$E$5:$E$24,'6-Coût unitaire bananes'!$B$5:$B$24,A34)+SUMIFS('7-Coût unitaire cannes à sucre'!$F$5:$F$24,'7-Coût unitaire cannes à sucre'!$B$5:$B$24,A34),0)</f>
        <v>0</v>
      </c>
      <c r="C34" s="471">
        <f t="shared" si="10"/>
        <v>0</v>
      </c>
      <c r="D34" s="576"/>
      <c r="E34" s="579">
        <f t="shared" si="6"/>
        <v>0</v>
      </c>
      <c r="F34" s="577">
        <f t="shared" si="7"/>
        <v>0</v>
      </c>
      <c r="G34" s="615">
        <f t="shared" si="8"/>
        <v>0</v>
      </c>
      <c r="H34" s="613">
        <f t="shared" si="2"/>
        <v>0</v>
      </c>
      <c r="I34" s="1018"/>
      <c r="J34" s="587">
        <f t="shared" si="13"/>
        <v>0</v>
      </c>
      <c r="K34" s="1015"/>
      <c r="L34" s="1012"/>
      <c r="M34" s="587">
        <f t="shared" si="11"/>
        <v>0</v>
      </c>
      <c r="N34" s="888">
        <f t="shared" si="12"/>
        <v>0</v>
      </c>
      <c r="O34" s="890">
        <f t="shared" si="3"/>
        <v>0</v>
      </c>
      <c r="P34" s="587">
        <f t="shared" si="4"/>
        <v>0</v>
      </c>
      <c r="Q34" s="445">
        <f>SUMIFS('3-Contributions en nature'!$I$5:$I$104,'3-Contributions en nature'!$C$5:$C$104,'Syn pf Bénéficiaire'!A34)</f>
        <v>0</v>
      </c>
      <c r="R34" s="587">
        <f t="shared" si="9"/>
        <v>0</v>
      </c>
      <c r="S34" s="891">
        <f t="shared" si="5"/>
        <v>0</v>
      </c>
    </row>
    <row r="35" spans="1:23" s="417" customFormat="1" ht="27" customHeight="1">
      <c r="A35" s="442" t="s">
        <v>38</v>
      </c>
      <c r="B35" s="436">
        <f>IF(AND($F$8="Règle respectée",$F$7="Règle respectée",$F$6="Seuil respecté"),SUMIFS('1-Investissements'!$AD$9:$AD$108,'1-Investissements'!$E$9:$E$108,A35)+SUMIFS('2-Frais généraux'!$AB$5:$AB$104,'2-Frais généraux'!$D$5:$D$104,A35)+SUMIFS('3-Contributions en nature'!$I$5:$I$104,'3-Contributions en nature'!$C$5:$C$104,A35)+SUMIFS('4-Amortissement'!$O$5:$O$104,'4-Amortissement'!$C$5:$C$104,A35)+SUMIFS('5-Tx forf personnel+autoconst'!$F$6:$F$14,'5-Tx forf personnel+autoconst'!$B$6:$B$14,A35)+SUMIFS('6-Coût unitaire bananes'!$E$5:$E$24,'6-Coût unitaire bananes'!$B$5:$B$24,A35)+SUMIFS('7-Coût unitaire cannes à sucre'!$F$5:$F$24,'7-Coût unitaire cannes à sucre'!$B$5:$B$24,A35),0)</f>
        <v>0</v>
      </c>
      <c r="C35" s="471">
        <f t="shared" si="10"/>
        <v>0</v>
      </c>
      <c r="D35" s="576"/>
      <c r="E35" s="579">
        <f t="shared" si="6"/>
        <v>0</v>
      </c>
      <c r="F35" s="577">
        <f t="shared" si="7"/>
        <v>0</v>
      </c>
      <c r="G35" s="615">
        <f t="shared" si="8"/>
        <v>0</v>
      </c>
      <c r="H35" s="613">
        <f t="shared" si="2"/>
        <v>0</v>
      </c>
      <c r="I35" s="1018"/>
      <c r="J35" s="587">
        <f t="shared" si="13"/>
        <v>0</v>
      </c>
      <c r="K35" s="1015"/>
      <c r="L35" s="1012"/>
      <c r="M35" s="587">
        <f>IF(J35="","",IF($I$28="Oui",0.15*J35/0.85,G35-J35))</f>
        <v>0</v>
      </c>
      <c r="N35" s="888">
        <f t="shared" si="12"/>
        <v>0</v>
      </c>
      <c r="O35" s="890">
        <f t="shared" si="3"/>
        <v>0</v>
      </c>
      <c r="P35" s="587">
        <f t="shared" si="4"/>
        <v>0</v>
      </c>
      <c r="Q35" s="445">
        <f>SUMIFS('3-Contributions en nature'!$I$5:$I$104,'3-Contributions en nature'!$C$5:$C$104,'Syn pf Bénéficiaire'!A35)</f>
        <v>0</v>
      </c>
      <c r="R35" s="587">
        <f t="shared" si="9"/>
        <v>0</v>
      </c>
      <c r="S35" s="891">
        <f t="shared" si="5"/>
        <v>0</v>
      </c>
    </row>
    <row r="36" spans="1:23" s="417" customFormat="1" ht="38.25" customHeight="1" thickBot="1">
      <c r="A36" s="443" t="s">
        <v>40</v>
      </c>
      <c r="B36" s="436">
        <f>IF(AND($F$9="Règle respectée",$F$7="Règle respectée",$F$6="Seuil respecté"),SUMIFS('1-Investissements'!$AD$9:$AD$108,'1-Investissements'!$E$9:$E$108,A36)+SUMIFS('2-Frais généraux'!$AB$5:$AB$104,'2-Frais généraux'!$D$5:$D$104,A36)+SUMIFS('3-Contributions en nature'!$I$5:$I$104,'3-Contributions en nature'!$C$5:$C$104,A36)+SUMIFS('4-Amortissement'!$O$5:$O$104,'4-Amortissement'!$C$5:$C$104,A36)+SUMIFS('5-Tx forf personnel+autoconst'!$F$6:$F$14,'5-Tx forf personnel+autoconst'!$B$6:$B$14,A36)+SUMIFS('6-Coût unitaire bananes'!$E$5:$E$24,'6-Coût unitaire bananes'!$B$5:$B$24,A36)+SUMIFS('7-Coût unitaire cannes à sucre'!$F$5:$F$24,'7-Coût unitaire cannes à sucre'!$B$5:$B$24,A36),0)</f>
        <v>0</v>
      </c>
      <c r="C36" s="472">
        <f t="shared" si="10"/>
        <v>0</v>
      </c>
      <c r="D36" s="469"/>
      <c r="E36" s="575">
        <f t="shared" si="6"/>
        <v>0</v>
      </c>
      <c r="F36" s="581">
        <f t="shared" si="7"/>
        <v>0</v>
      </c>
      <c r="G36" s="615">
        <f t="shared" si="8"/>
        <v>0</v>
      </c>
      <c r="H36" s="614">
        <f t="shared" si="2"/>
        <v>0</v>
      </c>
      <c r="I36" s="1019"/>
      <c r="J36" s="587">
        <f t="shared" si="13"/>
        <v>0</v>
      </c>
      <c r="K36" s="1016"/>
      <c r="L36" s="1013"/>
      <c r="M36" s="587">
        <f t="shared" si="11"/>
        <v>0</v>
      </c>
      <c r="N36" s="617">
        <f t="shared" si="12"/>
        <v>0</v>
      </c>
      <c r="O36" s="887">
        <f t="shared" si="3"/>
        <v>0</v>
      </c>
      <c r="P36" s="592">
        <f t="shared" si="4"/>
        <v>0</v>
      </c>
      <c r="Q36" s="446">
        <f>SUMIFS('3-Contributions en nature'!$I$5:$I$104,'3-Contributions en nature'!$C$5:$C$104,'Syn pf Bénéficiaire'!A36)</f>
        <v>0</v>
      </c>
      <c r="R36" s="586">
        <f t="shared" si="9"/>
        <v>0</v>
      </c>
      <c r="S36" s="891">
        <f t="shared" si="5"/>
        <v>0</v>
      </c>
    </row>
    <row r="37" spans="1:23" s="417" customFormat="1" ht="21.95" thickBot="1">
      <c r="A37" s="473" t="s">
        <v>339</v>
      </c>
      <c r="B37" s="583">
        <f>SUM(B28:B36)</f>
        <v>0</v>
      </c>
      <c r="C37" s="584">
        <f>SUM(C28:C36)</f>
        <v>0</v>
      </c>
      <c r="D37" s="591">
        <f>IF(B37=0,0,E37/B37)</f>
        <v>0</v>
      </c>
      <c r="E37" s="578">
        <f>IF(SUM(E28:E36)&gt;4500000,4500000,SUM(E28:E36))</f>
        <v>0</v>
      </c>
      <c r="F37" s="582">
        <f t="shared" si="7"/>
        <v>0</v>
      </c>
      <c r="G37" s="578">
        <f>IF(OR(E37=0,ROUND($A$20+$D$20+$M$8,2)&gt;=ROUND($B$37,2)),0,IF($M$8+$D$20&gt;$F$11,E37-($M$8+$D$20-$F$11)*F37,E37))</f>
        <v>0</v>
      </c>
      <c r="H37" s="582">
        <f t="shared" si="2"/>
        <v>0</v>
      </c>
      <c r="I37"/>
      <c r="J37" s="578">
        <f>IF(G37=0,0,ROUNDDOWN(IF($I$28="Oui",G37-($A$20*F37),G37*0.85),2))</f>
        <v>0</v>
      </c>
      <c r="K37"/>
      <c r="L37"/>
      <c r="M37" s="578">
        <f>IF(J37="","",IF($I$28="Oui",ROUNDUP(0.15*J37/0.85,2),G37-J37))</f>
        <v>0</v>
      </c>
      <c r="N37" s="594">
        <f t="shared" si="12"/>
        <v>0</v>
      </c>
      <c r="O37" s="889">
        <f t="shared" si="3"/>
        <v>0</v>
      </c>
      <c r="P37" s="889">
        <f t="shared" si="4"/>
        <v>0</v>
      </c>
      <c r="Q37" s="437">
        <f t="shared" ref="Q37" si="14">SUM(Q28:Q36)</f>
        <v>0</v>
      </c>
      <c r="R37" s="437">
        <f t="shared" si="9"/>
        <v>0</v>
      </c>
      <c r="S37" s="892">
        <f t="shared" si="5"/>
        <v>0</v>
      </c>
      <c r="T37" s="438"/>
      <c r="U37" s="438"/>
      <c r="V37" s="439"/>
    </row>
    <row r="38" spans="1:23" ht="18.95">
      <c r="P38" s="163"/>
      <c r="Q38" s="163"/>
      <c r="R38" s="163"/>
      <c r="S38" s="163"/>
      <c r="T38" s="163"/>
      <c r="U38" s="163"/>
      <c r="V38" s="163"/>
      <c r="W38" s="163"/>
    </row>
    <row r="39" spans="1:23" ht="18.95">
      <c r="E39" s="308"/>
      <c r="P39" s="163"/>
      <c r="Q39" s="163"/>
      <c r="R39" s="163"/>
      <c r="S39" s="163"/>
      <c r="T39" s="163"/>
      <c r="U39" s="163"/>
      <c r="V39" s="163"/>
      <c r="W39" s="163"/>
    </row>
    <row r="40" spans="1:23">
      <c r="H40" s="44"/>
    </row>
    <row r="41" spans="1:23">
      <c r="D41" s="164"/>
      <c r="J41" s="165"/>
    </row>
    <row r="45" spans="1:23">
      <c r="D45" t="s">
        <v>340</v>
      </c>
    </row>
  </sheetData>
  <sheetProtection formatCells="0" formatColumns="0" formatRows="0" insertRows="0"/>
  <mergeCells count="42">
    <mergeCell ref="N6:N7"/>
    <mergeCell ref="O6:Q6"/>
    <mergeCell ref="H6:H9"/>
    <mergeCell ref="D10:E10"/>
    <mergeCell ref="D7:E7"/>
    <mergeCell ref="I6:I7"/>
    <mergeCell ref="J6:J7"/>
    <mergeCell ref="K6:K7"/>
    <mergeCell ref="L6:L7"/>
    <mergeCell ref="M6:M7"/>
    <mergeCell ref="C26:C27"/>
    <mergeCell ref="A26:A27"/>
    <mergeCell ref="A25:C25"/>
    <mergeCell ref="A5:B5"/>
    <mergeCell ref="A10:B10"/>
    <mergeCell ref="A8:B8"/>
    <mergeCell ref="A6:B6"/>
    <mergeCell ref="A7:B7"/>
    <mergeCell ref="A14:F14"/>
    <mergeCell ref="B15:B16"/>
    <mergeCell ref="C15:C16"/>
    <mergeCell ref="E15:E16"/>
    <mergeCell ref="F15:F16"/>
    <mergeCell ref="D5:E5"/>
    <mergeCell ref="D6:E6"/>
    <mergeCell ref="L28:L36"/>
    <mergeCell ref="K28:K36"/>
    <mergeCell ref="I28:I36"/>
    <mergeCell ref="D8:E8"/>
    <mergeCell ref="D9:E9"/>
    <mergeCell ref="F26:F27"/>
    <mergeCell ref="D25:S25"/>
    <mergeCell ref="D11:E11"/>
    <mergeCell ref="H14:K14"/>
    <mergeCell ref="H16:I16"/>
    <mergeCell ref="J16:K16"/>
    <mergeCell ref="J9:Q9"/>
    <mergeCell ref="A1:R1"/>
    <mergeCell ref="A2:B2"/>
    <mergeCell ref="A3:B3"/>
    <mergeCell ref="A4:B4"/>
    <mergeCell ref="D2:F4"/>
  </mergeCells>
  <phoneticPr fontId="11" type="noConversion"/>
  <conditionalFormatting sqref="F5">
    <cfRule type="expression" dxfId="12" priority="8" stopIfTrue="1">
      <formula>F5="Le seuil n’étant pas atteint, les dépenses associées à ce type d'action seront jugées inéligibles à l'instruction"</formula>
    </cfRule>
  </conditionalFormatting>
  <conditionalFormatting sqref="F5:F6">
    <cfRule type="containsText" dxfId="11" priority="9" operator="containsText" text="Seuil respecté">
      <formula>NOT(ISERROR(SEARCH("Seuil respecté",F5)))</formula>
    </cfRule>
  </conditionalFormatting>
  <conditionalFormatting sqref="F6">
    <cfRule type="expression" dxfId="10" priority="7">
      <formula>F6="Le seuil n’étant pas atteint, les dépenses associées aux types d'actions hors plantations pérennes seront jugées inéligibles à l'instruction"</formula>
    </cfRule>
  </conditionalFormatting>
  <conditionalFormatting sqref="F7:F9">
    <cfRule type="containsText" dxfId="9" priority="1" operator="containsText" text="Règle respectée">
      <formula>NOT(ISERROR(SEARCH("Règle respectée",F7)))</formula>
    </cfRule>
    <cfRule type="notContainsText" dxfId="8" priority="4" operator="notContains" text="Règle respectée">
      <formula>ISERROR(SEARCH("Règle respectée",F7))</formula>
    </cfRule>
  </conditionalFormatting>
  <conditionalFormatting sqref="F10">
    <cfRule type="expression" dxfId="7" priority="2">
      <formula>F10="Oui"</formula>
    </cfRule>
    <cfRule type="expression" dxfId="6" priority="3">
      <formula>F10="Non, l'aide publique doit diminuer"</formula>
    </cfRule>
  </conditionalFormatting>
  <dataValidations count="2">
    <dataValidation type="list" allowBlank="1" showInputMessage="1" showErrorMessage="1" sqref="I28" xr:uid="{4F179E4C-BBD6-4322-9870-CC871A09C08E}">
      <formula1>"Oui,Non,Non concerné"</formula1>
    </dataValidation>
    <dataValidation type="list" allowBlank="1" showInputMessage="1" showErrorMessage="1" sqref="F17:F19 J22:J23 C17:C19 C21" xr:uid="{E0509CF5-0E78-42EE-BA36-FBBA4D7033AD}">
      <formula1>"Oui,Non"</formula1>
    </dataValidation>
  </dataValidations>
  <pageMargins left="0.7" right="0.7" top="0.75" bottom="0.75" header="0.3" footer="0.3"/>
  <pageSetup paperSize="9" scale="23"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973EFE6E-998A-4953-AD52-E4CF3BCC090E}">
          <x14:formula1>
            <xm:f>'0-Présentation typeaction'!$H$4:$H$12</xm:f>
          </x14:formula1>
          <xm:sqref>A28:A36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7B9E8-92B5-4F6F-8EED-3D722CA4BD0C}">
  <sheetPr codeName="Feuil4">
    <pageSetUpPr fitToPage="1"/>
  </sheetPr>
  <dimension ref="A1:AH57"/>
  <sheetViews>
    <sheetView showGridLines="0" topLeftCell="M7" zoomScale="33" zoomScaleNormal="40" workbookViewId="0">
      <selection activeCell="U24" sqref="U24"/>
    </sheetView>
  </sheetViews>
  <sheetFormatPr defaultColWidth="11.42578125" defaultRowHeight="15" customHeight="1" outlineLevelRow="1" outlineLevelCol="1"/>
  <cols>
    <col min="1" max="1" width="31.85546875" style="166" bestFit="1" customWidth="1"/>
    <col min="2" max="2" width="40.42578125" style="166" customWidth="1"/>
    <col min="3" max="3" width="37.140625" style="166" customWidth="1"/>
    <col min="4" max="4" width="44.42578125" style="166" customWidth="1"/>
    <col min="5" max="5" width="37.140625" style="166" customWidth="1"/>
    <col min="6" max="6" width="57.85546875" style="166" customWidth="1"/>
    <col min="7" max="8" width="37.140625" style="166" customWidth="1"/>
    <col min="9" max="9" width="54.85546875" style="166" customWidth="1"/>
    <col min="10" max="25" width="37.140625" style="166" customWidth="1"/>
    <col min="26" max="26" width="25.42578125" style="166" customWidth="1"/>
    <col min="27" max="27" width="36.42578125" style="166" customWidth="1" outlineLevel="1"/>
    <col min="28" max="28" width="34.42578125" style="166" customWidth="1" outlineLevel="1"/>
    <col min="29" max="29" width="27.140625" style="166" customWidth="1"/>
    <col min="30" max="30" width="11.42578125" style="166" customWidth="1"/>
    <col min="31" max="31" width="51.42578125" style="166" customWidth="1"/>
    <col min="32" max="32" width="69.140625" style="166" customWidth="1"/>
    <col min="33" max="33" width="34.42578125" style="166" customWidth="1"/>
    <col min="34" max="34" width="15.42578125" style="166" bestFit="1" customWidth="1"/>
    <col min="35" max="16384" width="11.42578125" style="166"/>
  </cols>
  <sheetData>
    <row r="1" spans="1:34" ht="251.25" customHeight="1">
      <c r="B1" s="1085" t="s">
        <v>341</v>
      </c>
      <c r="C1" s="1086"/>
      <c r="D1" s="1086"/>
      <c r="E1" s="1086"/>
      <c r="F1" s="1086"/>
      <c r="G1" s="1086"/>
      <c r="H1" s="1086"/>
      <c r="I1" s="1086"/>
      <c r="J1" s="1086"/>
      <c r="K1" s="1086"/>
      <c r="L1" s="1086"/>
      <c r="M1" s="1086"/>
      <c r="N1" s="1086"/>
      <c r="O1" s="1086"/>
      <c r="P1" s="1086"/>
      <c r="Q1" s="1086"/>
      <c r="R1" s="1086"/>
      <c r="S1" s="1086"/>
      <c r="T1" s="1086"/>
      <c r="U1" s="1086"/>
      <c r="V1" s="1086"/>
      <c r="W1" s="1086"/>
      <c r="X1" s="1086"/>
      <c r="Y1" s="1086"/>
    </row>
    <row r="2" spans="1:34" ht="189" customHeight="1">
      <c r="B2" s="1093" t="s">
        <v>342</v>
      </c>
      <c r="C2" s="1093"/>
      <c r="D2" s="1093"/>
      <c r="E2" s="1093"/>
      <c r="F2" s="1093"/>
      <c r="G2" s="1093"/>
      <c r="H2" s="1093"/>
      <c r="I2" s="1093"/>
      <c r="J2" s="1093"/>
      <c r="K2" s="1093"/>
      <c r="L2" s="1093"/>
      <c r="M2" s="1093"/>
      <c r="N2" s="1093"/>
      <c r="O2" s="1093"/>
      <c r="P2" s="1093"/>
      <c r="Q2" s="1093"/>
      <c r="R2" s="1093"/>
      <c r="S2" s="1093"/>
      <c r="T2" s="1093"/>
      <c r="U2" s="1093"/>
      <c r="V2" s="1093"/>
      <c r="W2" s="1093"/>
      <c r="X2" s="1093"/>
      <c r="Y2" s="1093"/>
    </row>
    <row r="3" spans="1:34" ht="84.95" customHeight="1" thickBot="1">
      <c r="A3" s="474"/>
      <c r="B3" s="474"/>
      <c r="C3" s="474"/>
      <c r="D3" s="474"/>
      <c r="E3" s="474"/>
      <c r="F3" s="474"/>
      <c r="G3" s="474"/>
      <c r="H3" s="474"/>
      <c r="I3" s="474"/>
      <c r="J3" s="474"/>
      <c r="K3" s="474"/>
      <c r="L3" s="474"/>
      <c r="M3" s="474"/>
      <c r="N3" s="474"/>
      <c r="O3" s="474"/>
      <c r="P3" s="474"/>
      <c r="Q3" s="474"/>
      <c r="R3" s="474"/>
      <c r="S3" s="474"/>
      <c r="T3" s="474"/>
      <c r="U3" s="474"/>
    </row>
    <row r="4" spans="1:34" ht="81" customHeight="1">
      <c r="B4" s="1090" t="s">
        <v>343</v>
      </c>
      <c r="C4" s="1091"/>
      <c r="D4" s="1091"/>
      <c r="E4" s="1091"/>
      <c r="F4" s="1091"/>
      <c r="G4" s="1091"/>
      <c r="H4" s="1091"/>
      <c r="I4" s="1091"/>
      <c r="J4" s="1091"/>
      <c r="K4" s="1091"/>
      <c r="L4" s="1091"/>
      <c r="M4" s="1091"/>
      <c r="N4" s="1091"/>
      <c r="O4" s="1091"/>
      <c r="P4" s="1091"/>
      <c r="Q4" s="1091"/>
      <c r="R4" s="1091"/>
      <c r="S4" s="1091"/>
      <c r="T4" s="1091"/>
      <c r="U4" s="1091"/>
      <c r="V4" s="1091"/>
      <c r="W4" s="1091"/>
      <c r="X4" s="1091"/>
      <c r="Y4" s="1092"/>
    </row>
    <row r="5" spans="1:34" ht="114" customHeight="1" thickBot="1">
      <c r="A5" s="474"/>
      <c r="B5" s="492"/>
      <c r="C5" s="474"/>
      <c r="D5" s="474"/>
      <c r="E5" s="474"/>
      <c r="F5" s="474"/>
      <c r="G5" s="474"/>
      <c r="H5" s="474"/>
      <c r="I5" s="474"/>
      <c r="J5" s="474"/>
      <c r="K5" s="474"/>
      <c r="L5" s="474"/>
      <c r="M5" s="474"/>
      <c r="N5" s="474"/>
      <c r="O5" s="474"/>
      <c r="P5" s="474"/>
      <c r="Q5" s="474"/>
      <c r="R5" s="474"/>
      <c r="S5" s="474"/>
      <c r="T5" s="474"/>
      <c r="U5" s="474"/>
      <c r="Y5" s="493"/>
    </row>
    <row r="6" spans="1:34" s="168" customFormat="1" ht="59.25" customHeight="1">
      <c r="B6" s="1082" t="s">
        <v>344</v>
      </c>
      <c r="C6" s="1083"/>
      <c r="D6" s="1083"/>
      <c r="E6" s="1083"/>
      <c r="F6" s="1083"/>
      <c r="G6" s="1084"/>
      <c r="I6" s="1082" t="s">
        <v>345</v>
      </c>
      <c r="J6" s="1083"/>
      <c r="K6" s="1083"/>
      <c r="L6" s="1083"/>
      <c r="M6" s="1083"/>
      <c r="N6" s="1083"/>
      <c r="O6" s="1084"/>
      <c r="Y6" s="494"/>
    </row>
    <row r="7" spans="1:34" s="168" customFormat="1" ht="87" customHeight="1">
      <c r="B7" s="1088" t="s">
        <v>346</v>
      </c>
      <c r="C7" s="1089"/>
      <c r="D7" s="1089"/>
      <c r="E7" s="476" t="s">
        <v>347</v>
      </c>
      <c r="F7" s="476" t="s">
        <v>348</v>
      </c>
      <c r="G7" s="541" t="s">
        <v>349</v>
      </c>
      <c r="I7" s="487" t="s">
        <v>350</v>
      </c>
      <c r="J7" s="476" t="s">
        <v>351</v>
      </c>
      <c r="K7" s="476" t="s">
        <v>352</v>
      </c>
      <c r="L7" s="476" t="s">
        <v>353</v>
      </c>
      <c r="M7" s="476" t="s">
        <v>320</v>
      </c>
      <c r="N7" s="476" t="s">
        <v>354</v>
      </c>
      <c r="O7" s="541" t="s">
        <v>355</v>
      </c>
      <c r="Y7" s="494"/>
    </row>
    <row r="8" spans="1:34" s="168" customFormat="1" ht="95.25" customHeight="1">
      <c r="B8" s="488" t="s">
        <v>261</v>
      </c>
      <c r="C8" s="478" t="s">
        <v>356</v>
      </c>
      <c r="D8" s="477" t="s">
        <v>357</v>
      </c>
      <c r="E8" s="477" t="s">
        <v>358</v>
      </c>
      <c r="F8" s="477" t="s">
        <v>359</v>
      </c>
      <c r="G8" s="542" t="s">
        <v>360</v>
      </c>
      <c r="I8" s="548" t="s">
        <v>361</v>
      </c>
      <c r="J8" s="477" t="s">
        <v>362</v>
      </c>
      <c r="K8" s="477" t="s">
        <v>363</v>
      </c>
      <c r="L8" s="477" t="s">
        <v>361</v>
      </c>
      <c r="M8" s="477" t="s">
        <v>364</v>
      </c>
      <c r="N8" s="477" t="s">
        <v>361</v>
      </c>
      <c r="O8" s="549" t="s">
        <v>365</v>
      </c>
      <c r="Y8" s="494"/>
    </row>
    <row r="9" spans="1:34" s="168" customFormat="1" ht="93.95" customHeight="1" thickBot="1">
      <c r="B9" s="543">
        <f>'1-Investissements'!BJ109+'2-Frais généraux'!BF105+'3-Contributions en nature'!S105+'4-Amortissement'!AG105+'5-Tx forf personnel+autoconst'!L15+'6-Coût unitaire bananes'!J25+'7-Coût unitaire cannes à sucre'!L25</f>
        <v>0</v>
      </c>
      <c r="C9" s="544">
        <f>'1-Investissements'!BK109+'2-Frais généraux'!BG105</f>
        <v>0</v>
      </c>
      <c r="D9" s="544">
        <f>SUM(B9:C9)</f>
        <v>0</v>
      </c>
      <c r="E9" s="545">
        <f>'Syn pf Bénéficiaire'!C5-C34</f>
        <v>0</v>
      </c>
      <c r="F9" s="546">
        <f>D34</f>
        <v>0</v>
      </c>
      <c r="G9" s="547">
        <f>'Syn pf Bénéficiaire'!C5-D34</f>
        <v>0</v>
      </c>
      <c r="I9" s="550">
        <f>V19</f>
        <v>0</v>
      </c>
      <c r="J9" s="551">
        <f>IF(D34=0,0,I34/D34)</f>
        <v>0</v>
      </c>
      <c r="K9" s="552">
        <f>$I$34</f>
        <v>0</v>
      </c>
      <c r="L9" s="552">
        <f>$L$34</f>
        <v>0</v>
      </c>
      <c r="M9" s="552">
        <f>$O$34</f>
        <v>0</v>
      </c>
      <c r="N9" s="552">
        <f>R34</f>
        <v>0</v>
      </c>
      <c r="O9" s="553">
        <f>$T$34</f>
        <v>0</v>
      </c>
      <c r="Y9" s="494"/>
    </row>
    <row r="10" spans="1:34" s="168" customFormat="1" ht="86.25" customHeight="1">
      <c r="B10" s="495"/>
      <c r="Y10" s="494"/>
      <c r="AE10" s="1078"/>
      <c r="AF10" s="1078"/>
      <c r="AG10" s="523"/>
      <c r="AH10" s="523"/>
    </row>
    <row r="11" spans="1:34" s="168" customFormat="1" ht="72.95" customHeight="1" thickBot="1">
      <c r="B11" s="1107" t="s">
        <v>366</v>
      </c>
      <c r="C11" s="1108"/>
      <c r="D11" s="1108"/>
      <c r="E11" s="1108"/>
      <c r="F11" s="1108"/>
      <c r="G11" s="1108"/>
      <c r="H11" s="1108"/>
      <c r="I11" s="1108"/>
      <c r="J11" s="1108"/>
      <c r="K11" s="1108"/>
      <c r="L11" s="1108"/>
      <c r="M11" s="1108"/>
      <c r="N11" s="1108"/>
      <c r="O11" s="1108"/>
      <c r="P11" s="1108"/>
      <c r="Q11" s="1108"/>
      <c r="R11" s="1108"/>
      <c r="S11" s="1108"/>
      <c r="T11" s="1108"/>
      <c r="U11" s="1108"/>
      <c r="V11" s="1108"/>
      <c r="W11" s="1108"/>
      <c r="X11" s="1108"/>
      <c r="Y11" s="1109"/>
      <c r="AE11" s="1077"/>
      <c r="AF11" s="1077"/>
      <c r="AG11" s="166"/>
      <c r="AH11" s="524"/>
    </row>
    <row r="12" spans="1:34" ht="114.95" customHeight="1" thickBot="1">
      <c r="B12" s="496"/>
      <c r="Y12" s="493"/>
      <c r="AA12" s="1120" t="s">
        <v>367</v>
      </c>
      <c r="AB12" s="1121"/>
      <c r="AE12" s="1077"/>
      <c r="AF12" s="1077"/>
      <c r="AH12" s="524"/>
    </row>
    <row r="13" spans="1:34" ht="80.45" customHeight="1" thickBot="1">
      <c r="B13" s="1082" t="s">
        <v>368</v>
      </c>
      <c r="C13" s="1083"/>
      <c r="D13" s="1083"/>
      <c r="E13" s="1083"/>
      <c r="F13" s="1083"/>
      <c r="G13" s="1084"/>
      <c r="I13" s="1110" t="s">
        <v>369</v>
      </c>
      <c r="J13" s="1111"/>
      <c r="K13" s="1111"/>
      <c r="L13" s="1111"/>
      <c r="M13" s="1111"/>
      <c r="N13" s="1111"/>
      <c r="O13" s="1111"/>
      <c r="P13" s="1111"/>
      <c r="Q13" s="1112"/>
      <c r="S13" s="1082" t="s">
        <v>370</v>
      </c>
      <c r="T13" s="1083"/>
      <c r="U13" s="1083"/>
      <c r="V13" s="1118"/>
      <c r="W13" s="1118"/>
      <c r="X13" s="1119"/>
      <c r="Y13" s="493"/>
      <c r="AA13" s="1097" t="s">
        <v>371</v>
      </c>
      <c r="AB13" s="1098"/>
      <c r="AE13" s="1078"/>
      <c r="AF13" s="1078"/>
      <c r="AH13" s="525"/>
    </row>
    <row r="14" spans="1:34" ht="132" customHeight="1">
      <c r="B14" s="1080" t="s">
        <v>372</v>
      </c>
      <c r="C14" s="1081"/>
      <c r="D14" s="648" t="str">
        <f>IF((SUMIFS('1-Investissements'!$BJ$9:$BJ$108,'1-Investissements'!$AI$9:$AI$108,B27)+SUMIFS('2-Frais généraux'!$BF$5:$BF$104,'2-Frais généraux'!$AF$5:$AF$104,B27)+SUMIFS('3-Contributions en nature'!$S$5:$S$104,'3-Contributions en nature'!$L$5:$L$104,B27)+SUMIFS('4-Amortissement'!$AG$5:$AG$104,'4-Amortissement'!$S$5:$S$104,B27)+SUMIFS('5-Tx forf personnel+autoconst'!$L$6:$L$14,'5-Tx forf personnel+autoconst'!$H$6:$H$14,B27)+SUMIFS('6-Coût unitaire bananes'!$J$5:$J$24,'6-Coût unitaire bananes'!$G$5:$G$24,B27)+SUMIFS('7-Coût unitaire cannes à sucre'!$L$5:$L$24,'7-Coût unitaire cannes à sucre'!$H$5:$H$24,B27))&gt;=5000,"Seuil respecté","Le seuil n’étant pas atteint, les dépenses associées à ce type d'action seront jugées inéligibles à l'instruction")</f>
        <v>Le seuil n’étant pas atteint, les dépenses associées à ce type d'action seront jugées inéligibles à l'instruction</v>
      </c>
      <c r="E14" s="1116" t="s">
        <v>373</v>
      </c>
      <c r="F14" s="1117"/>
      <c r="G14" s="650">
        <f>IF(AB18=AB21,AB20,ROUND(IF(SUMIF('1-Investissements'!$C$9:$C$108,"Oui",'1-Investissements'!$AD$9:$AD$108)=AB21,(AB14+AB21)/0.9-(AB14+AB21),AB20),2))</f>
        <v>0</v>
      </c>
      <c r="I14" s="1113" t="s">
        <v>267</v>
      </c>
      <c r="J14" s="1114" t="s">
        <v>374</v>
      </c>
      <c r="K14" s="1114"/>
      <c r="L14" s="1087" t="s">
        <v>270</v>
      </c>
      <c r="M14" s="1087" t="s">
        <v>271</v>
      </c>
      <c r="N14" s="1087" t="s">
        <v>272</v>
      </c>
      <c r="O14" s="1087" t="s">
        <v>375</v>
      </c>
      <c r="P14" s="1087"/>
      <c r="Q14" s="1115"/>
      <c r="S14" s="628" t="s">
        <v>376</v>
      </c>
      <c r="T14" s="629" t="s">
        <v>377</v>
      </c>
      <c r="U14" s="630" t="s">
        <v>378</v>
      </c>
      <c r="V14" s="623" t="s">
        <v>379</v>
      </c>
      <c r="W14" s="505" t="s">
        <v>380</v>
      </c>
      <c r="X14" s="531" t="s">
        <v>381</v>
      </c>
      <c r="Y14" s="493"/>
      <c r="AA14" s="479" t="s">
        <v>382</v>
      </c>
      <c r="AB14" s="480">
        <f>J16+M16+N16+O16+P16+Q16</f>
        <v>0</v>
      </c>
      <c r="AE14" s="1079"/>
      <c r="AF14" s="1079"/>
      <c r="AG14" s="526"/>
      <c r="AH14" s="526"/>
    </row>
    <row r="15" spans="1:34" ht="132" customHeight="1" thickBot="1">
      <c r="B15" s="1080" t="s">
        <v>383</v>
      </c>
      <c r="C15" s="1081"/>
      <c r="D15" s="648" t="str">
        <f>IF((SUMIFS('1-Investissements'!$BJ$9:$BJ$108,'1-Investissements'!$AI$9:$AI$108,"&lt;&gt;Plantations pérennes")+SUMIFS('2-Frais généraux'!$BF$5:$BF$104,'2-Frais généraux'!$AF$5:$AF$104,"&lt;&gt;Plantations pérennes")+SUMIFS('3-Contributions en nature'!$S$5:$S$104,'3-Contributions en nature'!$L$5:$L$104,"&lt;&gt;Plantations pérennes")+SUMIFS('4-Amortissement'!$AG$5:$AG$104,'4-Amortissement'!$S$5:$S$104,"&lt;&gt;Plantations pérennes")+SUMIFS('5-Tx forf personnel+autoconst'!$L$6:$L$14,'5-Tx forf personnel+autoconst'!$H$6:$H$14,"&lt;&gt;Plantations pérennes")+SUMIFS('6-Coût unitaire bananes'!$J$5:$J$24,'6-Coût unitaire bananes'!$G$5:$G$24,"&lt;&gt;Plantations pérennes")+SUMIFS('7-Coût unitaire cannes à sucre'!$L$5:$L$24,'7-Coût unitaire cannes à sucre'!$H$5:$H$24,"&lt;&gt;Plantations pérennes"))&gt;=15000,"Seuil respecté","Le seuil n’étant pas atteint, les dépenses associées aux types d'actions hors plantations pérennes seront jugées inéligibles à l'instruction")</f>
        <v>Le seuil n’étant pas atteint, les dépenses associées aux types d'actions hors plantations pérennes seront jugées inéligibles à l'instruction</v>
      </c>
      <c r="E15" s="1094" t="s">
        <v>384</v>
      </c>
      <c r="F15" s="1095"/>
      <c r="G15" s="651" t="str">
        <f>IF(D9=0,"",IF('2-Frais généraux'!BH105&gt;G14,"La dépense doit être plafonnée","Plafond respecté"))</f>
        <v/>
      </c>
      <c r="I15" s="1113"/>
      <c r="J15" s="502" t="s">
        <v>268</v>
      </c>
      <c r="K15" s="502" t="s">
        <v>269</v>
      </c>
      <c r="L15" s="1087"/>
      <c r="M15" s="1087"/>
      <c r="N15" s="1087"/>
      <c r="O15" s="502" t="s">
        <v>275</v>
      </c>
      <c r="P15" s="502" t="s">
        <v>276</v>
      </c>
      <c r="Q15" s="527" t="s">
        <v>277</v>
      </c>
      <c r="S15" s="631" t="s">
        <v>385</v>
      </c>
      <c r="T15" s="504"/>
      <c r="U15" s="632"/>
      <c r="V15" s="624" t="s">
        <v>385</v>
      </c>
      <c r="W15" s="505"/>
      <c r="X15" s="531"/>
      <c r="Y15" s="493"/>
      <c r="AA15" s="481" t="s">
        <v>386</v>
      </c>
      <c r="AB15" s="482">
        <f>AB14/0.8-AB14</f>
        <v>0</v>
      </c>
      <c r="AE15" s="1079"/>
      <c r="AF15" s="1079"/>
      <c r="AG15" s="526"/>
      <c r="AH15" s="526"/>
    </row>
    <row r="16" spans="1:34" ht="132" customHeight="1" thickBot="1">
      <c r="B16" s="1099" t="s">
        <v>387</v>
      </c>
      <c r="C16" s="1100"/>
      <c r="D16" s="648" t="str">
        <f>IF('Syn pf Bénéficiaire'!C3&gt;4500000,"L'opération est inéligible","Règle respectée")</f>
        <v>Règle respectée</v>
      </c>
      <c r="E16" s="1096" t="s">
        <v>388</v>
      </c>
      <c r="F16" s="1081"/>
      <c r="G16" s="652">
        <f>IF(AB17=AB20,AB21,ROUND(IF(L16=AB20,(AB14+AB20)/0.9-(AB14+AB20),AB21),2))</f>
        <v>0</v>
      </c>
      <c r="I16" s="570" t="s">
        <v>389</v>
      </c>
      <c r="J16" s="568">
        <f>IF(D16="Règle respectée",SUMIF('1-Investissements'!AG9:AG108,"Non",'1-Investissements'!BL9:BL108)-IF(D14="Seuil respecté",0,SUMIFS('1-Investissements'!BL9:BL108,'1-Investissements'!AI9:AI108,B27,'1-Investissements'!AG9:AG108,"Non"))+IF(D15="Seuil respecté",0,SUMIFS('1-Investissements'!BL9:BL108,'1-Investissements'!AI9:AI108,B27,'1-Investissements'!AG9:AG108,"Non")-SUMIF('1-Investissements'!AG9:AG108,"Non",'1-Investissements'!BL9:BL108))-IF(D17="Règle respectée",0,SUMIFS('1-Investissements'!BL9:BL108,'1-Investissements'!AI9:AI108,B32,'1-Investissements'!AG9:AG108,"Non"))-IF(D18="Règle respectée",0,SUMIFS('1-Investissements'!BL9:BL108,'1-Investissements'!AI9:AI108,B33,'1-Investissements'!AG9:AG108,"Non")),0)</f>
        <v>0</v>
      </c>
      <c r="K16" s="568">
        <f>IF(D16="Règle respectée",SUMIF('1-Investissements'!AG9:AG108,"Oui",'1-Investissements'!BL9:BL108)-IF(D14="Seuil respecté",0,SUMIFS('1-Investissements'!BL9:BL108,'1-Investissements'!AI9:AI108,B27,'1-Investissements'!AG9:AG108,"Oui"))+IF(D15="Seuil respecté",0,SUMIFS('1-Investissements'!BL9:BL108,'1-Investissements'!AI9:AI108,B27,'1-Investissements'!AG9:AG108,"Oui")-SUMIF('1-Investissements'!AG9:AG108,"Oui",'1-Investissements'!BL9:BL108))-IF(D17="Règle respectée",0,SUMIFS('1-Investissements'!BL9:BL108,'1-Investissements'!AI9:AI108,B32,'1-Investissements'!AG9:AG108,"Oui"))-IF(D18="Règle respectée",0,SUMIFS('1-Investissements'!BL9:BL108,'1-Investissements'!AI9:AI108,B33,'1-Investissements'!AG9:AG108,"Oui")),0)</f>
        <v>0</v>
      </c>
      <c r="L16" s="503">
        <f>IF(D16="Règle respectée",'2-Frais généraux'!BH105-IF(D14="Seuil respecté",0,SUMIF('2-Frais généraux'!AF5:AF104,B27,'2-Frais généraux'!BH5:BH104))+IF(D15="Seuil respecté",0,SUMIF('2-Frais généraux'!AF5:AF104,B27,'2-Frais généraux'!BH5:BH104)-'2-Frais généraux'!BH105)-IF(D17="Règle respectée",0,SUMIF('2-Frais généraux'!AF5:AF104,B32,'2-Frais généraux'!BH5:BH104))-IF(D18="Règle respectée",0,SUMIF('2-Frais généraux'!AF5:AF104,B33,'2-Frais généraux'!BH5:BH104)),0)</f>
        <v>0</v>
      </c>
      <c r="M16" s="503">
        <f>IF(D16="Règle respectée",'3-Contributions en nature'!S105-IF(D14="Seuil respecté",0,SUMIF('3-Contributions en nature'!L5:L104,B27,'3-Contributions en nature'!S5:S104))+IF(D15="Seuil respecté",0,SUMIF('3-Contributions en nature'!L5:L104,B27,'3-Contributions en nature'!S5:S104)-'3-Contributions en nature'!S105)-IF(D17="Règle respectée",0,SUMIF('3-Contributions en nature'!L5:L104,B32,'3-Contributions en nature'!S5:S104))-IF(D18="Règle respectée",0,SUMIF('3-Contributions en nature'!L5:L104,B33,'3-Contributions en nature'!S5:S104)),0)</f>
        <v>0</v>
      </c>
      <c r="N16" s="503">
        <f>IF(D16="Règle respectée",'4-Amortissement'!AG105-IF(D14="Seuil respecté",0,SUMIF('4-Amortissement'!S5:S104,B27,'4-Amortissement'!AG5:AG104))+IF(D15="Seuil respecté",0,SUMIF('4-Amortissement'!S5:S104,B27,'4-Amortissement'!AG5:AG104)-'4-Amortissement'!AG105)-IF(D17="Règle respectée",0,SUMIF('4-Amortissement'!S5:S104,B32,'4-Amortissement'!AG5:AG104))-IF(D18="Règle respectée",0,SUMIF('4-Amortissement'!S5:S104,B33,'4-Amortissement'!AG5:AG104)),0)</f>
        <v>0</v>
      </c>
      <c r="O16" s="503">
        <f>IF(D16="Règle respectée",'5-Tx forf personnel+autoconst'!L15-IF(D14="Seuil respecté",0,SUMIF('5-Tx forf personnel+autoconst'!H6:H14,B27,'5-Tx forf personnel+autoconst'!L6:L14))+IF(D15="Seuil respecté",0,SUMIF('5-Tx forf personnel+autoconst'!H6:H14,B27,'5-Tx forf personnel+autoconst'!L6:L14)-'5-Tx forf personnel+autoconst'!L15)-IF(D17="Règle respectée",0,SUMIF('5-Tx forf personnel+autoconst'!H6:H14,B32,'5-Tx forf personnel+autoconst'!L6:L14))-IF(D18="Règle respectée",0,SUMIF('5-Tx forf personnel+autoconst'!H6:H14,B33,'5-Tx forf personnel+autoconst'!L6:L14)),0)</f>
        <v>0</v>
      </c>
      <c r="P16" s="503">
        <f>IF(D16="Règle respectée",'6-Coût unitaire bananes'!J25-IF(D14="Seuil respecté",0,SUMIF('6-Coût unitaire bananes'!G5:G24,B27,'6-Coût unitaire bananes'!J5:J24))+IF(D15="Seuil respecté",0,SUMIF('6-Coût unitaire bananes'!G5:G24,B27,'6-Coût unitaire bananes'!J5:J24)-'6-Coût unitaire bananes'!J25)-IF(D17="Règle respectée",0,SUMIF('6-Coût unitaire bananes'!G5:G24,B32,'6-Coût unitaire bananes'!J5:J24))-IF(D18="Règle respectée",0,SUMIF('6-Coût unitaire bananes'!G5:G24,B33,'6-Coût unitaire bananes'!J5:J24)),0)</f>
        <v>0</v>
      </c>
      <c r="Q16" s="528">
        <f>IF(D16="Règle respectée",'7-Coût unitaire cannes à sucre'!L25-IF(D14="Seuil respecté",0,SUMIF('7-Coût unitaire cannes à sucre'!H5:H24,B27,'7-Coût unitaire cannes à sucre'!L5:L24))+IF(D15="Seuil respecté",0,SUMIF('7-Coût unitaire cannes à sucre'!H5:H24,B27,'7-Coût unitaire cannes à sucre'!L5:L24)-'7-Coût unitaire cannes à sucre'!L25)-IF(D17="Règle respectée",0,SUMIF('7-Coût unitaire cannes à sucre'!H5:H24,B32,'7-Coût unitaire cannes à sucre'!L5:L24))-IF(D18="Règle respectée",0,SUMIF('7-Coût unitaire cannes à sucre'!H5:H24,B33,'7-Coût unitaire cannes à sucre'!L5:L24)),0)</f>
        <v>0</v>
      </c>
      <c r="S16" s="633" t="str">
        <f>IF('Syn pf Bénéficiaire'!A17="","",'Syn pf Bénéficiaire'!A17)</f>
        <v/>
      </c>
      <c r="T16" s="618" t="str">
        <f>IF('Syn pf Bénéficiaire'!B17="","",'Syn pf Bénéficiaire'!B17)</f>
        <v/>
      </c>
      <c r="U16" s="634" t="str">
        <f>IF('Syn pf Bénéficiaire'!C17="","",'Syn pf Bénéficiaire'!C17)</f>
        <v/>
      </c>
      <c r="V16" s="625" t="str">
        <f>IF('Syn pf Bénéficiaire'!D17="","",'Syn pf Bénéficiaire'!D17)</f>
        <v/>
      </c>
      <c r="W16" s="618" t="str">
        <f>IF('Syn pf Bénéficiaire'!E17="","",'Syn pf Bénéficiaire'!E17)</f>
        <v/>
      </c>
      <c r="X16" s="619" t="str">
        <f>IF('Syn pf Bénéficiaire'!F17="","",'Syn pf Bénéficiaire'!F17)</f>
        <v/>
      </c>
      <c r="Y16" s="493"/>
      <c r="AA16" s="1097" t="s">
        <v>390</v>
      </c>
      <c r="AB16" s="1098"/>
      <c r="AE16" s="1076"/>
      <c r="AF16" s="1076"/>
      <c r="AH16"/>
    </row>
    <row r="17" spans="2:34" ht="132" customHeight="1" thickBot="1">
      <c r="B17" s="1099" t="s">
        <v>391</v>
      </c>
      <c r="C17" s="1100"/>
      <c r="D17" s="648" t="str">
        <f>IF((SUMIFS('1-Investissements'!$BJ$9:$BJ$108,'1-Investissements'!$AI$9:$AI$108,B32)+SUMIFS('2-Frais généraux'!$BF$5:$BF$104,'2-Frais généraux'!$AF$5:$AF$104,B32)+SUMIFS('3-Contributions en nature'!$S$5:$S$104,'3-Contributions en nature'!$L$5:$L$104,B32)+SUMIFS('4-Amortissement'!$AG$5:$AG$104,'4-Amortissement'!$S$5:$S$104,B32)+SUMIFS('5-Tx forf personnel+autoconst'!$L$6:$L$14,'5-Tx forf personnel+autoconst'!$H$6:$H$14,B32)+SUMIFS('6-Coût unitaire bananes'!$J$5:$J$24,'6-Coût unitaire bananes'!$G$5:$G$24,B32)+SUMIFS('7-Coût unitaire cannes à sucre'!$L$5:$L$24,'7-Coût unitaire cannes à sucre'!$H$5:$H$24,B32))&gt;500000,"La règle n’étant pas respectée, les dépenses associées à ce type d'action seront jugées inéligibles à l'instruction","Règle respectée")</f>
        <v>Règle respectée</v>
      </c>
      <c r="E17" s="1096" t="s">
        <v>392</v>
      </c>
      <c r="F17" s="1081"/>
      <c r="G17" s="653" t="str">
        <f>IF(D9=0,"",IF(SUMIFS('1-Investissements'!BL9:BL108,'1-Investissements'!AG9:AG108,"Oui")&gt;G16,"La dépense doit être plafonnée","Plafond respecté"))</f>
        <v/>
      </c>
      <c r="I17" s="571" t="s">
        <v>393</v>
      </c>
      <c r="J17" s="567">
        <f>J16</f>
        <v>0</v>
      </c>
      <c r="K17" s="567">
        <f>MIN(G16,K16)</f>
        <v>0</v>
      </c>
      <c r="L17" s="567">
        <f>MIN(G14,L16)</f>
        <v>0</v>
      </c>
      <c r="M17" s="529">
        <f>IF(M16=0,0,S34)</f>
        <v>0</v>
      </c>
      <c r="N17" s="529">
        <f>N16</f>
        <v>0</v>
      </c>
      <c r="O17" s="529">
        <f>O16</f>
        <v>0</v>
      </c>
      <c r="P17" s="529">
        <f t="shared" ref="P17:Q17" si="0">P16</f>
        <v>0</v>
      </c>
      <c r="Q17" s="530">
        <f t="shared" si="0"/>
        <v>0</v>
      </c>
      <c r="S17" s="633" t="str">
        <f>IF('Syn pf Bénéficiaire'!A18="","",'Syn pf Bénéficiaire'!A18)</f>
        <v/>
      </c>
      <c r="T17" s="618" t="str">
        <f>IF('Syn pf Bénéficiaire'!B18="","",'Syn pf Bénéficiaire'!B18)</f>
        <v/>
      </c>
      <c r="U17" s="634" t="str">
        <f>IF('Syn pf Bénéficiaire'!C18="","",'Syn pf Bénéficiaire'!C18)</f>
        <v/>
      </c>
      <c r="V17" s="625" t="str">
        <f>IF('Syn pf Bénéficiaire'!D18="","",'Syn pf Bénéficiaire'!D18)</f>
        <v/>
      </c>
      <c r="W17" s="618" t="str">
        <f>IF('Syn pf Bénéficiaire'!E18="","",'Syn pf Bénéficiaire'!E18)</f>
        <v/>
      </c>
      <c r="X17" s="619" t="str">
        <f>IF('Syn pf Bénéficiaire'!F18="","",'Syn pf Bénéficiaire'!F18)</f>
        <v/>
      </c>
      <c r="Y17" s="493"/>
      <c r="AA17" s="483" t="s">
        <v>394</v>
      </c>
      <c r="AB17" s="480">
        <f>AB15*10/20</f>
        <v>0</v>
      </c>
      <c r="AE17" s="1076"/>
      <c r="AF17" s="1076"/>
      <c r="AH17"/>
    </row>
    <row r="18" spans="2:34" ht="132" customHeight="1" thickBot="1">
      <c r="B18" s="1130" t="s">
        <v>395</v>
      </c>
      <c r="C18" s="1131"/>
      <c r="D18" s="649" t="str">
        <f>IF((SUMIFS('1-Investissements'!$BJ$9:$BJ$108,'1-Investissements'!$AI$9:$AI$108,B33)+SUMIFS('2-Frais généraux'!$BF$5:$BF$104,'2-Frais généraux'!$AF$5:$AF$104,B33)+SUMIFS('3-Contributions en nature'!$S$5:$S$104,'3-Contributions en nature'!$L$5:$L$104,B33)+SUMIFS('4-Amortissement'!$AG$5:$AG$104,'4-Amortissement'!$S$5:$S$104,B33)+SUMIFS('5-Tx forf personnel+autoconst'!$L$6:$L$14,'5-Tx forf personnel+autoconst'!$H$6:$H$14,B33)+SUMIFS('6-Coût unitaire bananes'!$J$5:$J$24,'6-Coût unitaire bananes'!$G$5:$G$24,B33)+SUMIFS('7-Coût unitaire cannes à sucre'!$L$5:$L$24,'7-Coût unitaire cannes à sucre'!$H$5:$H$24,B33))&gt;250000,"La règle n’étant pas respectée, les dépenses associées à ce type d'action seront jugées inéligibles à l'instruction","Règle respectée")</f>
        <v>Règle respectée</v>
      </c>
      <c r="E18" s="1094" t="s">
        <v>396</v>
      </c>
      <c r="F18" s="1095"/>
      <c r="G18" s="652">
        <f>IF(D34="","",$D$34-$G$34)</f>
        <v>0</v>
      </c>
      <c r="S18" s="635" t="str">
        <f>IF('Syn pf Bénéficiaire'!A19="","",'Syn pf Bénéficiaire'!A19)</f>
        <v/>
      </c>
      <c r="T18" s="636" t="str">
        <f>IF('Syn pf Bénéficiaire'!B19="","",'Syn pf Bénéficiaire'!B19)</f>
        <v/>
      </c>
      <c r="U18" s="637" t="str">
        <f>IF('Syn pf Bénéficiaire'!C19="","",'Syn pf Bénéficiaire'!C19)</f>
        <v/>
      </c>
      <c r="V18" s="626" t="str">
        <f>IF('Syn pf Bénéficiaire'!D19="","",'Syn pf Bénéficiaire'!D19)</f>
        <v/>
      </c>
      <c r="W18" s="620" t="str">
        <f>IF('Syn pf Bénéficiaire'!E19="","",'Syn pf Bénéficiaire'!E19)</f>
        <v/>
      </c>
      <c r="X18" s="621" t="str">
        <f>IF('Syn pf Bénéficiaire'!F19="","",'Syn pf Bénéficiaire'!F19)</f>
        <v/>
      </c>
      <c r="Y18" s="497"/>
      <c r="Z18" s="475"/>
      <c r="AA18" s="481" t="s">
        <v>397</v>
      </c>
      <c r="AB18" s="482">
        <f>AB15*10/20</f>
        <v>0</v>
      </c>
      <c r="AE18" s="1075"/>
      <c r="AF18" s="1075"/>
      <c r="AH18"/>
    </row>
    <row r="19" spans="2:34" ht="132" customHeight="1" thickBot="1">
      <c r="B19" s="1132"/>
      <c r="C19" s="1132"/>
      <c r="D19" s="647"/>
      <c r="E19" s="1133" t="s">
        <v>398</v>
      </c>
      <c r="F19" s="1134"/>
      <c r="G19" s="654" t="str">
        <f>IF(D34=0,"",IF($M$17+$V$19&lt;=$G$18,"La règle est respectée, pas de modification du TAP réglementaire","La règle de non-profit n'est pas respectée, le TAP réglementaire doit diminuer"))</f>
        <v/>
      </c>
      <c r="K19"/>
      <c r="L19" s="489"/>
      <c r="M19" s="489"/>
      <c r="N19" s="167"/>
      <c r="O19" s="167"/>
      <c r="P19" s="168"/>
      <c r="S19" s="627">
        <f>SUM(S16:S18)</f>
        <v>0</v>
      </c>
      <c r="T19" s="490"/>
      <c r="U19" s="491"/>
      <c r="V19" s="572">
        <f>SUM(V16:V18)</f>
        <v>0</v>
      </c>
      <c r="W19" s="490"/>
      <c r="X19" s="491"/>
      <c r="Y19" s="494"/>
      <c r="Z19" s="168"/>
      <c r="AA19" s="1097" t="s">
        <v>399</v>
      </c>
      <c r="AB19" s="1098"/>
    </row>
    <row r="20" spans="2:34" ht="49.5" customHeight="1">
      <c r="B20" s="496"/>
      <c r="K20"/>
      <c r="L20" s="489"/>
      <c r="M20" s="489"/>
      <c r="N20" s="168"/>
      <c r="O20" s="167"/>
      <c r="P20" s="168"/>
      <c r="Q20" s="168"/>
      <c r="R20" s="168"/>
      <c r="S20" s="168"/>
      <c r="T20" s="168"/>
      <c r="U20" s="168"/>
      <c r="V20" s="168"/>
      <c r="W20" s="168"/>
      <c r="X20" s="168"/>
      <c r="Y20" s="494"/>
      <c r="Z20" s="168"/>
      <c r="AA20" s="483" t="s">
        <v>400</v>
      </c>
      <c r="AB20" s="480">
        <f>MIN(L16,AB17)</f>
        <v>0</v>
      </c>
    </row>
    <row r="21" spans="2:34" ht="49.5" customHeight="1" thickBot="1">
      <c r="B21" s="496"/>
      <c r="K21"/>
      <c r="L21" s="489"/>
      <c r="V21" s="168"/>
      <c r="W21" s="168"/>
      <c r="X21" s="168"/>
      <c r="Y21" s="493"/>
      <c r="AA21" s="484" t="s">
        <v>401</v>
      </c>
      <c r="AB21" s="485">
        <f>MIN(K16,AB18)</f>
        <v>0</v>
      </c>
    </row>
    <row r="22" spans="2:34" ht="69.95" customHeight="1" thickBot="1">
      <c r="B22" s="1124" t="s">
        <v>402</v>
      </c>
      <c r="C22" s="1125"/>
      <c r="D22" s="1125"/>
      <c r="E22" s="1125"/>
      <c r="F22" s="1125"/>
      <c r="G22" s="1125"/>
      <c r="H22" s="1125"/>
      <c r="I22" s="1125"/>
      <c r="J22" s="1125"/>
      <c r="K22" s="1125"/>
      <c r="L22" s="1125"/>
      <c r="M22" s="1125"/>
      <c r="N22" s="1125"/>
      <c r="O22" s="1125"/>
      <c r="P22" s="1125"/>
      <c r="Q22" s="1125"/>
      <c r="R22" s="1125"/>
      <c r="S22" s="1125"/>
      <c r="T22" s="1125"/>
      <c r="U22" s="1125"/>
      <c r="V22" s="1125"/>
      <c r="W22" s="1125"/>
      <c r="X22" s="168"/>
      <c r="Y22" s="493"/>
    </row>
    <row r="23" spans="2:34" ht="151.5" customHeight="1">
      <c r="B23" s="1126" t="s">
        <v>21</v>
      </c>
      <c r="C23" s="1128" t="s">
        <v>403</v>
      </c>
      <c r="D23" s="507" t="s">
        <v>393</v>
      </c>
      <c r="E23" s="1122" t="s">
        <v>404</v>
      </c>
      <c r="F23" s="506" t="s">
        <v>405</v>
      </c>
      <c r="G23" s="506" t="s">
        <v>406</v>
      </c>
      <c r="H23" s="1122" t="s">
        <v>313</v>
      </c>
      <c r="I23" s="508" t="s">
        <v>314</v>
      </c>
      <c r="J23" s="508" t="s">
        <v>315</v>
      </c>
      <c r="K23" s="506" t="s">
        <v>316</v>
      </c>
      <c r="L23" s="506" t="s">
        <v>317</v>
      </c>
      <c r="M23" s="506" t="s">
        <v>318</v>
      </c>
      <c r="N23" s="506" t="s">
        <v>319</v>
      </c>
      <c r="O23" s="506" t="s">
        <v>320</v>
      </c>
      <c r="P23" s="506" t="s">
        <v>321</v>
      </c>
      <c r="Q23" s="506" t="s">
        <v>322</v>
      </c>
      <c r="R23" s="506" t="s">
        <v>323</v>
      </c>
      <c r="S23" s="608" t="s">
        <v>407</v>
      </c>
      <c r="T23" s="897" t="s">
        <v>325</v>
      </c>
      <c r="U23" s="898" t="s">
        <v>326</v>
      </c>
      <c r="V23" s="532" t="s">
        <v>408</v>
      </c>
      <c r="Y23" s="493"/>
    </row>
    <row r="24" spans="2:34" s="520" customFormat="1" ht="183" customHeight="1" thickBot="1">
      <c r="B24" s="1127"/>
      <c r="C24" s="1129"/>
      <c r="D24" s="518" t="s">
        <v>409</v>
      </c>
      <c r="E24" s="1123"/>
      <c r="F24" s="515" t="s">
        <v>410</v>
      </c>
      <c r="G24" s="516" t="s">
        <v>411</v>
      </c>
      <c r="H24" s="1123"/>
      <c r="I24" s="516" t="s">
        <v>330</v>
      </c>
      <c r="J24" s="515" t="s">
        <v>412</v>
      </c>
      <c r="K24" s="516" t="s">
        <v>413</v>
      </c>
      <c r="L24" s="516" t="s">
        <v>333</v>
      </c>
      <c r="M24" s="517" t="s">
        <v>334</v>
      </c>
      <c r="N24" s="516" t="s">
        <v>334</v>
      </c>
      <c r="O24" s="516"/>
      <c r="P24" s="515" t="s">
        <v>414</v>
      </c>
      <c r="Q24" s="516" t="s">
        <v>337</v>
      </c>
      <c r="R24" s="516"/>
      <c r="S24" s="609"/>
      <c r="T24" s="516" t="s">
        <v>415</v>
      </c>
      <c r="U24" s="516" t="s">
        <v>416</v>
      </c>
      <c r="V24" s="533"/>
      <c r="Y24" s="519"/>
    </row>
    <row r="25" spans="2:34" ht="26.25" customHeight="1">
      <c r="B25" s="534" t="s">
        <v>27</v>
      </c>
      <c r="C25" s="486">
        <f>IF(AND($D$16="Règle respectée",$D$15="Seuil respecté"),SUMIFS('1-Investissements'!$BL$9:$BL$108,'1-Investissements'!$AI$9:$AI$108,$B25)+SUMIFS('2-Frais généraux'!$BH$5:$BH$104,'2-Frais généraux'!$AF$5:$AF$104,$B25)+SUMIFS('3-Contributions en nature'!$S$5:$S$104,'3-Contributions en nature'!$L$5:$L$104,$B25)+SUMIFS('4-Amortissement'!$AG$5:$AG$104,'4-Amortissement'!$S$5:$S$104,B25)+SUMIFS('5-Tx forf personnel+autoconst'!$L$6:$L$14,'5-Tx forf personnel+autoconst'!$H$6:$H$14,$B25)+SUMIFS('6-Coût unitaire bananes'!$J$5:$J$24,'6-Coût unitaire bananes'!$G$5:$G$24,$B25)+SUMIFS('7-Coût unitaire cannes à sucre'!$L$5:$L$24,'7-Coût unitaire cannes à sucre'!$H$5:$H$24,$B25),0)</f>
        <v>0</v>
      </c>
      <c r="D25" s="486">
        <f>IF(C25=0,0,IF(G$17="Plafond respecté",SUMIFS('1-Investissements'!$BL$9:$BL$108,'1-Investissements'!$AG$9:$AG$108,"Oui",'1-Investissements'!$AI$9:$AI$108,B25),$G$16*(SUMIFS('1-Investissements'!$BL$9:$BL$108,'1-Investissements'!$AG$9:$AG$108,"Oui",'1-Investissements'!$AI$9:$AI$108,B25)/$K$16))+SUMIFS('1-Investissements'!$BL$9:$BL$108,'1-Investissements'!$AG$9:$AG$108,"Non",'1-Investissements'!$AI$9:$AI$108,B25)+IF(G$15="Plafond respecté",SUMIFS('2-Frais généraux'!$BH$5:$BH$104,'2-Frais généraux'!$AF$5:$AF$104,B25),$G$14*(SUMIFS('2-Frais généraux'!$BH$5:$BH$104,'2-Frais généraux'!$AF$5:$AF$104,B25)/$L$16))+SUMIFS('3-Contributions en nature'!$S$5:$S$104,'3-Contributions en nature'!$L$5:$L$104,B25)+SUMIFS('4-Amortissement'!$AG$5:$AG$104,'4-Amortissement'!$S$5:$S$104,B25)+SUMIFS('5-Tx forf personnel+autoconst'!$L$6:$L$14,'5-Tx forf personnel+autoconst'!$H$6:$H$14,B25)+SUMIFS('6-Coût unitaire bananes'!$J$5:$J$24,'6-Coût unitaire bananes'!$G$5:$G$24,B25)+SUMIFS('7-Coût unitaire cannes à sucre'!$L$5:$L$24,'7-Coût unitaire cannes à sucre'!$H$5:$H$24,B25))</f>
        <v>0</v>
      </c>
      <c r="E25" s="509">
        <f>IF($D$34=0,0,D25/$D$34)</f>
        <v>0</v>
      </c>
      <c r="F25" s="468"/>
      <c r="G25" s="486">
        <f>IF(D25=0,0,F25*D25)</f>
        <v>0</v>
      </c>
      <c r="H25" s="573">
        <f>IF($G$34=0,0,G25/$G$34)</f>
        <v>0</v>
      </c>
      <c r="I25" s="569">
        <f>IF(OR(G25=0,ROUND($M$17+$S$19+$V$19,2)&gt;=ROUND($D$34,2)),0,IF($M$17+$V$19&gt;$G$18,G25-($V$19+$M$17-$G$18)*H25,G25))</f>
        <v>0</v>
      </c>
      <c r="J25" s="509">
        <f>IF(D25=0,0,I25/D25)</f>
        <v>0</v>
      </c>
      <c r="K25" s="1104" t="str">
        <f>_xlfn.IFS(S19=0,"Non concerné",S19&lt;(0.15*$I$34),"Non",S19=(0.15*$I$34),"Oui",S19&gt;(0.15*$I$34),"Oui")</f>
        <v>Non concerné</v>
      </c>
      <c r="L25" s="510">
        <f>IF(I25=0,0,IF($K$25="Oui",I25-($S$19*H25),I25*0.85))</f>
        <v>0</v>
      </c>
      <c r="M25" s="1101">
        <f>IF(I34=0,0,L34/I34)</f>
        <v>0</v>
      </c>
      <c r="N25" s="1101">
        <f>IF(OR(I34=0,L34=0),0,O34/(L34*100/85))</f>
        <v>0</v>
      </c>
      <c r="O25" s="510">
        <f>IF(I25=0,0,IF($K$25="Oui",0.15*L25/0.85,I25-L25))</f>
        <v>0</v>
      </c>
      <c r="P25" s="486">
        <f>IF(H25=0,0,IF($K$25="Oui",O25,$S$19*H25))</f>
        <v>0</v>
      </c>
      <c r="Q25" s="510">
        <f>IF(O25=0,0,O25-P25)</f>
        <v>0</v>
      </c>
      <c r="R25" s="510">
        <f>IF($S$19=0,0,H25*$S$19-P25)</f>
        <v>0</v>
      </c>
      <c r="S25" s="486">
        <f>IF(C25=0,0,SUMIFS('3-Contributions en nature'!$S$5:$S$104,'3-Contributions en nature'!$L$5:$L$104,B25))</f>
        <v>0</v>
      </c>
      <c r="T25" s="510">
        <f>IF(D25=0,0,D25-L25-O25-R25-S25-$V$19*E25)</f>
        <v>0</v>
      </c>
      <c r="U25" s="511">
        <f t="shared" ref="U25:U34" si="1">IF(OR(T25=0,D25=0),0,T25/D25)</f>
        <v>0</v>
      </c>
      <c r="V25" s="610"/>
      <c r="Y25" s="512"/>
    </row>
    <row r="26" spans="2:34" ht="26.25" customHeight="1">
      <c r="B26" s="534" t="s">
        <v>29</v>
      </c>
      <c r="C26" s="486">
        <f>IF(AND($D$16="Règle respectée",$D$15="Seuil respecté"),SUMIFS('1-Investissements'!$BL$9:$BL$108,'1-Investissements'!$AI$9:$AI$108,$B26)+SUMIFS('2-Frais généraux'!$BH$5:$BH$104,'2-Frais généraux'!$AF$5:$AF$104,$B26)+SUMIFS('3-Contributions en nature'!$S$5:$S$104,'3-Contributions en nature'!$L$5:$L$104,$B26)+SUMIFS('4-Amortissement'!$AG$5:$AG$104,'4-Amortissement'!$S$5:$S$104,B26)+SUMIFS('5-Tx forf personnel+autoconst'!$L$6:$L$14,'5-Tx forf personnel+autoconst'!$H$6:$H$14,$B26)+SUMIFS('6-Coût unitaire bananes'!$J$5:$J$24,'6-Coût unitaire bananes'!$G$5:$G$24,$B26)+SUMIFS('7-Coût unitaire cannes à sucre'!$L$5:$L$24,'7-Coût unitaire cannes à sucre'!$H$5:$H$24,$B26),0)</f>
        <v>0</v>
      </c>
      <c r="D26" s="486">
        <f>IF(C26=0,0,IF(G$17="Plafond respecté",SUMIFS('1-Investissements'!$BL$9:$BL$108,'1-Investissements'!$AG$9:$AG$108,"Oui",'1-Investissements'!$AI$9:$AI$108,B26),$G$16*(SUMIFS('1-Investissements'!$BL$9:$BL$108,'1-Investissements'!$AG$9:$AG$108,"Oui",'1-Investissements'!$AI$9:$AI$108,B26)/$K$16))+SUMIFS('1-Investissements'!$BL$9:$BL$108,'1-Investissements'!$AG$9:$AG$108,"Non",'1-Investissements'!$AI$9:$AI$108,B26)+IF(G$15="Plafond respecté",SUMIFS('2-Frais généraux'!$BH$5:$BH$104,'2-Frais généraux'!$AF$5:$AF$104,B26),$G$14*(SUMIFS('2-Frais généraux'!$BH$5:$BH$104,'2-Frais généraux'!$AF$5:$AF$104,B26)/$L$16))+SUMIFS('3-Contributions en nature'!$S$5:$S$104,'3-Contributions en nature'!$L$5:$L$104,B26)+SUMIFS('4-Amortissement'!$AG$5:$AG$104,'4-Amortissement'!$S$5:$S$104,B26)+SUMIFS('5-Tx forf personnel+autoconst'!$L$6:$L$14,'5-Tx forf personnel+autoconst'!$H$6:$H$14,B26)+SUMIFS('6-Coût unitaire bananes'!$J$5:$J$24,'6-Coût unitaire bananes'!$G$5:$G$24,B26)+SUMIFS('7-Coût unitaire cannes à sucre'!$L$5:$L$24,'7-Coût unitaire cannes à sucre'!$H$5:$H$24,B26))</f>
        <v>0</v>
      </c>
      <c r="E26" s="509">
        <f t="shared" ref="E26:E33" si="2">IF($D$34=0,0,D26/$D$34)</f>
        <v>0</v>
      </c>
      <c r="F26" s="576"/>
      <c r="G26" s="486">
        <f t="shared" ref="G26:G33" si="3">IF(D26=0,0,F26*D26)</f>
        <v>0</v>
      </c>
      <c r="H26" s="573">
        <f t="shared" ref="H26:H33" si="4">IF($G$34=0,0,G26/$G$34)</f>
        <v>0</v>
      </c>
      <c r="I26" s="569">
        <f>IF(OR(G26=0,ROUND($M$17+$S$19+$V$19,2)&gt;=ROUND($D$34,2)),0,IF($M$17+$V$19&gt;$G$18,G26-($V$19+$M$17-$G$18)*H26,G26))</f>
        <v>0</v>
      </c>
      <c r="J26" s="509">
        <f>IF(D26=0,0,I26/D26)</f>
        <v>0</v>
      </c>
      <c r="K26" s="1105"/>
      <c r="L26" s="510">
        <f t="shared" ref="L26:L33" si="5">IF(I26=0,0,IF($K$25="Oui",I26-($S$19*H26),I26*0.85))</f>
        <v>0</v>
      </c>
      <c r="M26" s="1102"/>
      <c r="N26" s="1102"/>
      <c r="O26" s="510">
        <f t="shared" ref="O26:O33" si="6">IF(I26=0,0,IF($K$25="Oui",0.15*L26/0.85,I26-L26))</f>
        <v>0</v>
      </c>
      <c r="P26" s="486">
        <f t="shared" ref="P26:P33" si="7">IF(H26=0,0,IF($K$25="Oui",O26,$S$19*H26))</f>
        <v>0</v>
      </c>
      <c r="Q26" s="510">
        <f t="shared" ref="Q26:Q34" si="8">IF(O26=0,0,O26-P26)</f>
        <v>0</v>
      </c>
      <c r="R26" s="510">
        <f>IF($S$19=0,0,H26*$S$19-P26)</f>
        <v>0</v>
      </c>
      <c r="S26" s="486">
        <f>IF(C26=0,0,SUMIFS('3-Contributions en nature'!$S$5:$S$104,'3-Contributions en nature'!$L$5:$L$104,B26))</f>
        <v>0</v>
      </c>
      <c r="T26" s="510">
        <f>IF(D26=0,0,D26-L26-O26-R26-S26-$V$19*E26)</f>
        <v>0</v>
      </c>
      <c r="U26" s="511">
        <f t="shared" si="1"/>
        <v>0</v>
      </c>
      <c r="V26" s="611"/>
      <c r="Y26" s="493"/>
    </row>
    <row r="27" spans="2:34" ht="26.25" customHeight="1">
      <c r="B27" s="534" t="s">
        <v>30</v>
      </c>
      <c r="C27" s="486">
        <f>IF(AND($D$14="Seuil respecté",$D$16="Règle respectée"),SUMIFS('1-Investissements'!$BL$9:$BL$108,'1-Investissements'!$AI$9:$AI$108,$B27)+SUMIFS('2-Frais généraux'!$BH$5:$BH$104,'2-Frais généraux'!$AF$5:$AF$104,$B27)+SUMIFS('3-Contributions en nature'!$S$5:$S$104,'3-Contributions en nature'!$L$5:$L$104,$B27)+SUMIFS('4-Amortissement'!$AG$5:$AG$104,'4-Amortissement'!$S$5:$S$104,B27)+SUMIFS('5-Tx forf personnel+autoconst'!$L$6:$L$14,'5-Tx forf personnel+autoconst'!$H$6:$H$14,$B27)+SUMIFS('6-Coût unitaire bananes'!$J$5:$J$24,'6-Coût unitaire bananes'!$G$5:$G$24,$B27)+SUMIFS('7-Coût unitaire cannes à sucre'!$L$5:$L$24,'7-Coût unitaire cannes à sucre'!$H$5:$H$24,$B27),0)</f>
        <v>0</v>
      </c>
      <c r="D27" s="486">
        <f>IF(C27=0,0,IF(G$17="Plafond respecté",SUMIFS('1-Investissements'!$BL$9:$BL$108,'1-Investissements'!$AG$9:$AG$108,"Oui",'1-Investissements'!$AI$9:$AI$108,B27),$G$16*(SUMIFS('1-Investissements'!$BL$9:$BL$108,'1-Investissements'!$AG$9:$AG$108,"Oui",'1-Investissements'!$AI$9:$AI$108,B27)/$K$16))+SUMIFS('1-Investissements'!$BL$9:$BL$108,'1-Investissements'!$AG$9:$AG$108,"Non",'1-Investissements'!$AI$9:$AI$108,B27)+IF(G$15="Plafond respecté",SUMIFS('2-Frais généraux'!$BH$5:$BH$104,'2-Frais généraux'!$AF$5:$AF$104,B27),$G$14*(SUMIFS('2-Frais généraux'!$BH$5:$BH$104,'2-Frais généraux'!$AF$5:$AF$104,B27)/$L$16))+SUMIFS('3-Contributions en nature'!$S$5:$S$104,'3-Contributions en nature'!$L$5:$L$104,B27)+SUMIFS('4-Amortissement'!$AG$5:$AG$104,'4-Amortissement'!$S$5:$S$104,B27)+SUMIFS('5-Tx forf personnel+autoconst'!$L$6:$L$14,'5-Tx forf personnel+autoconst'!$H$6:$H$14,B27)+SUMIFS('6-Coût unitaire bananes'!$J$5:$J$24,'6-Coût unitaire bananes'!$G$5:$G$24,B27)+SUMIFS('7-Coût unitaire cannes à sucre'!$L$5:$L$24,'7-Coût unitaire cannes à sucre'!$H$5:$H$24,B27))</f>
        <v>0</v>
      </c>
      <c r="E27" s="509">
        <f t="shared" si="2"/>
        <v>0</v>
      </c>
      <c r="F27" s="576"/>
      <c r="G27" s="486">
        <f t="shared" si="3"/>
        <v>0</v>
      </c>
      <c r="H27" s="573">
        <f t="shared" si="4"/>
        <v>0</v>
      </c>
      <c r="I27" s="569">
        <f>IF(OR(G27=0,ROUND($M$17+$S$19+$V$19,2)&gt;=ROUND($D$34,2)),0,IF($M$17+$V$19&gt;$G$18,G27-($V$19+$M$17-$G$18)*H27,G27))</f>
        <v>0</v>
      </c>
      <c r="J27" s="509">
        <f t="shared" ref="J27:J33" si="9">IF(D27=0,0,I27/D27)</f>
        <v>0</v>
      </c>
      <c r="K27" s="1105"/>
      <c r="L27" s="510">
        <f t="shared" si="5"/>
        <v>0</v>
      </c>
      <c r="M27" s="1102"/>
      <c r="N27" s="1102"/>
      <c r="O27" s="510">
        <f t="shared" si="6"/>
        <v>0</v>
      </c>
      <c r="P27" s="486">
        <f t="shared" si="7"/>
        <v>0</v>
      </c>
      <c r="Q27" s="510">
        <f t="shared" si="8"/>
        <v>0</v>
      </c>
      <c r="R27" s="510">
        <f t="shared" ref="R27:R33" si="10">IF($S$19=0,0,H27*$S$19-P27)</f>
        <v>0</v>
      </c>
      <c r="S27" s="486">
        <f>IF(C27=0,0,SUMIFS('3-Contributions en nature'!$S$5:$S$104,'3-Contributions en nature'!$L$5:$L$104,B27))</f>
        <v>0</v>
      </c>
      <c r="T27" s="510">
        <f t="shared" ref="T27:T34" si="11">IF(D27=0,0,D27-L27-O27-R27-S27-$V$19*E27)</f>
        <v>0</v>
      </c>
      <c r="U27" s="511">
        <f t="shared" si="1"/>
        <v>0</v>
      </c>
      <c r="V27" s="611"/>
      <c r="Y27" s="493"/>
    </row>
    <row r="28" spans="2:34" ht="26.25" customHeight="1">
      <c r="B28" s="534" t="s">
        <v>32</v>
      </c>
      <c r="C28" s="486">
        <f>IF(AND($D$16="Règle respectée",$D$15="Seuil respecté"),SUMIFS('1-Investissements'!$BL$9:$BL$108,'1-Investissements'!$AI$9:$AI$108,$B28)+SUMIFS('2-Frais généraux'!$BH$5:$BH$104,'2-Frais généraux'!$AF$5:$AF$104,$B28)+SUMIFS('3-Contributions en nature'!$S$5:$S$104,'3-Contributions en nature'!$L$5:$L$104,$B28)+SUMIFS('4-Amortissement'!$AG$5:$AG$104,'4-Amortissement'!$S$5:$S$104,B28)+SUMIFS('5-Tx forf personnel+autoconst'!$L$6:$L$14,'5-Tx forf personnel+autoconst'!$H$6:$H$14,$B28)+SUMIFS('6-Coût unitaire bananes'!$J$5:$J$24,'6-Coût unitaire bananes'!$G$5:$G$24,$B28)+SUMIFS('7-Coût unitaire cannes à sucre'!$L$5:$L$24,'7-Coût unitaire cannes à sucre'!$H$5:$H$24,$B28),0)</f>
        <v>0</v>
      </c>
      <c r="D28" s="486">
        <f>IF(C28=0,0,IF(G$17="Plafond respecté",SUMIFS('1-Investissements'!$BL$9:$BL$108,'1-Investissements'!$AG$9:$AG$108,"Oui",'1-Investissements'!$AI$9:$AI$108,B28),$G$16*(SUMIFS('1-Investissements'!$BL$9:$BL$108,'1-Investissements'!$AG$9:$AG$108,"Oui",'1-Investissements'!$AI$9:$AI$108,B28)/$K$16))+SUMIFS('1-Investissements'!$BL$9:$BL$108,'1-Investissements'!$AG$9:$AG$108,"Non",'1-Investissements'!$AI$9:$AI$108,B28)+IF(G$15="Plafond respecté",SUMIFS('2-Frais généraux'!$BH$5:$BH$104,'2-Frais généraux'!$AF$5:$AF$104,B28),$G$14*(SUMIFS('2-Frais généraux'!$BH$5:$BH$104,'2-Frais généraux'!$AF$5:$AF$104,B28)/$L$16))+SUMIFS('3-Contributions en nature'!$S$5:$S$104,'3-Contributions en nature'!$L$5:$L$104,B28)+SUMIFS('4-Amortissement'!$AG$5:$AG$104,'4-Amortissement'!$S$5:$S$104,B28)+SUMIFS('5-Tx forf personnel+autoconst'!$L$6:$L$14,'5-Tx forf personnel+autoconst'!$H$6:$H$14,B28)+SUMIFS('6-Coût unitaire bananes'!$J$5:$J$24,'6-Coût unitaire bananes'!$G$5:$G$24,B28)+SUMIFS('7-Coût unitaire cannes à sucre'!$L$5:$L$24,'7-Coût unitaire cannes à sucre'!$H$5:$H$24,B28))</f>
        <v>0</v>
      </c>
      <c r="E28" s="509">
        <f t="shared" si="2"/>
        <v>0</v>
      </c>
      <c r="F28" s="576"/>
      <c r="G28" s="486">
        <f t="shared" si="3"/>
        <v>0</v>
      </c>
      <c r="H28" s="573">
        <f t="shared" si="4"/>
        <v>0</v>
      </c>
      <c r="I28" s="569">
        <f t="shared" ref="I28:I32" si="12">IF(OR(G28=0,ROUND($M$17+$S$19+$V$19,2)&gt;=ROUND($D$34,2)),0,IF($M$17+$V$19&gt;$G$18,G28-($V$19+$M$17-$G$18)*H28,G28))</f>
        <v>0</v>
      </c>
      <c r="J28" s="509">
        <f t="shared" si="9"/>
        <v>0</v>
      </c>
      <c r="K28" s="1105"/>
      <c r="L28" s="510">
        <f>IF(I28=0,0,IF($K$25="Oui",I28-($S$19*H28),I28*0.85))</f>
        <v>0</v>
      </c>
      <c r="M28" s="1102"/>
      <c r="N28" s="1102"/>
      <c r="O28" s="510">
        <f t="shared" si="6"/>
        <v>0</v>
      </c>
      <c r="P28" s="486">
        <f t="shared" si="7"/>
        <v>0</v>
      </c>
      <c r="Q28" s="510">
        <f>IF(O28=0,0,O28-P28)</f>
        <v>0</v>
      </c>
      <c r="R28" s="510">
        <f t="shared" si="10"/>
        <v>0</v>
      </c>
      <c r="S28" s="486">
        <f>IF(C28=0,0,SUMIFS('3-Contributions en nature'!$S$5:$S$104,'3-Contributions en nature'!$L$5:$L$104,B28))</f>
        <v>0</v>
      </c>
      <c r="T28" s="510">
        <f t="shared" si="11"/>
        <v>0</v>
      </c>
      <c r="U28" s="511">
        <f t="shared" si="1"/>
        <v>0</v>
      </c>
      <c r="V28" s="611"/>
      <c r="Y28" s="493"/>
    </row>
    <row r="29" spans="2:34" ht="26.25" customHeight="1">
      <c r="B29" s="534" t="s">
        <v>33</v>
      </c>
      <c r="C29" s="486">
        <f>IF(AND($D$16="Règle respectée",$D$15="Seuil respecté"),SUMIFS('1-Investissements'!$BL$9:$BL$108,'1-Investissements'!$AI$9:$AI$108,$B29)+SUMIFS('2-Frais généraux'!$BH$5:$BH$104,'2-Frais généraux'!$AF$5:$AF$104,$B29)+SUMIFS('3-Contributions en nature'!$S$5:$S$104,'3-Contributions en nature'!$L$5:$L$104,$B29)+SUMIFS('4-Amortissement'!$AG$5:$AG$104,'4-Amortissement'!$S$5:$S$104,B29)+SUMIFS('5-Tx forf personnel+autoconst'!$L$6:$L$14,'5-Tx forf personnel+autoconst'!$H$6:$H$14,$B29)+SUMIFS('6-Coût unitaire bananes'!$J$5:$J$24,'6-Coût unitaire bananes'!$G$5:$G$24,$B29)+SUMIFS('7-Coût unitaire cannes à sucre'!$L$5:$L$24,'7-Coût unitaire cannes à sucre'!$H$5:$H$24,$B29),0)</f>
        <v>0</v>
      </c>
      <c r="D29" s="486">
        <f>IF(C29=0,0,IF(G$17="Plafond respecté",SUMIFS('1-Investissements'!$BL$9:$BL$108,'1-Investissements'!$AG$9:$AG$108,"Oui",'1-Investissements'!$AI$9:$AI$108,B29),$G$16*(SUMIFS('1-Investissements'!$BL$9:$BL$108,'1-Investissements'!$AG$9:$AG$108,"Oui",'1-Investissements'!$AI$9:$AI$108,B29)/$K$16))+SUMIFS('1-Investissements'!$BL$9:$BL$108,'1-Investissements'!$AG$9:$AG$108,"Non",'1-Investissements'!$AI$9:$AI$108,B29)+IF(G$15="Plafond respecté",SUMIFS('2-Frais généraux'!$BH$5:$BH$104,'2-Frais généraux'!$AF$5:$AF$104,B29),$G$14*(SUMIFS('2-Frais généraux'!$BH$5:$BH$104,'2-Frais généraux'!$AF$5:$AF$104,B29)/$L$16))+SUMIFS('3-Contributions en nature'!$S$5:$S$104,'3-Contributions en nature'!$L$5:$L$104,B29)+SUMIFS('4-Amortissement'!$AG$5:$AG$104,'4-Amortissement'!$S$5:$S$104,B29)+SUMIFS('5-Tx forf personnel+autoconst'!$L$6:$L$14,'5-Tx forf personnel+autoconst'!$H$6:$H$14,B29)+SUMIFS('6-Coût unitaire bananes'!$J$5:$J$24,'6-Coût unitaire bananes'!$G$5:$G$24,B29)+SUMIFS('7-Coût unitaire cannes à sucre'!$L$5:$L$24,'7-Coût unitaire cannes à sucre'!$H$5:$H$24,B29))</f>
        <v>0</v>
      </c>
      <c r="E29" s="509">
        <f>IF($D$34=0,0,D29/$D$34)</f>
        <v>0</v>
      </c>
      <c r="F29" s="576"/>
      <c r="G29" s="486">
        <f t="shared" si="3"/>
        <v>0</v>
      </c>
      <c r="H29" s="573">
        <f t="shared" si="4"/>
        <v>0</v>
      </c>
      <c r="I29" s="569">
        <f>IF(OR(G29=0,ROUND($M$17+$S$19+$V$19,2)&gt;=ROUND($D$34,2)),0,IF($M$17+$V$19&gt;$G$18,G29-($V$19+$M$17-$G$18)*H29,G29))</f>
        <v>0</v>
      </c>
      <c r="J29" s="509">
        <f>IF(D29=0,0,I29/D29)</f>
        <v>0</v>
      </c>
      <c r="K29" s="1105"/>
      <c r="L29" s="510">
        <f t="shared" si="5"/>
        <v>0</v>
      </c>
      <c r="M29" s="1102"/>
      <c r="N29" s="1102"/>
      <c r="O29" s="510">
        <f t="shared" si="6"/>
        <v>0</v>
      </c>
      <c r="P29" s="486">
        <f t="shared" si="7"/>
        <v>0</v>
      </c>
      <c r="Q29" s="510">
        <f t="shared" si="8"/>
        <v>0</v>
      </c>
      <c r="R29" s="510">
        <f t="shared" si="10"/>
        <v>0</v>
      </c>
      <c r="S29" s="486">
        <f>IF(C29=0,0,SUMIFS('3-Contributions en nature'!$S$5:$S$104,'3-Contributions en nature'!$L$5:$L$104,B29))</f>
        <v>0</v>
      </c>
      <c r="T29" s="510">
        <f t="shared" si="11"/>
        <v>0</v>
      </c>
      <c r="U29" s="511">
        <f t="shared" si="1"/>
        <v>0</v>
      </c>
      <c r="V29" s="611"/>
      <c r="Y29" s="493"/>
    </row>
    <row r="30" spans="2:34" ht="26.25" customHeight="1">
      <c r="B30" s="534" t="s">
        <v>35</v>
      </c>
      <c r="C30" s="486">
        <f>IF(AND($D$16="Règle respectée",$D$15="Seuil respecté"),SUMIFS('1-Investissements'!$BL$9:$BL$108,'1-Investissements'!$AI$9:$AI$108,$B30)+SUMIFS('2-Frais généraux'!$BH$5:$BH$104,'2-Frais généraux'!$AF$5:$AF$104,$B30)+SUMIFS('3-Contributions en nature'!$S$5:$S$104,'3-Contributions en nature'!$L$5:$L$104,$B30)+SUMIFS('4-Amortissement'!$AG$5:$AG$104,'4-Amortissement'!$S$5:$S$104,B30)+SUMIFS('5-Tx forf personnel+autoconst'!$L$6:$L$14,'5-Tx forf personnel+autoconst'!$H$6:$H$14,$B30)+SUMIFS('6-Coût unitaire bananes'!$J$5:$J$24,'6-Coût unitaire bananes'!$G$5:$G$24,$B30)+SUMIFS('7-Coût unitaire cannes à sucre'!$L$5:$L$24,'7-Coût unitaire cannes à sucre'!$H$5:$H$24,$B30),0)</f>
        <v>0</v>
      </c>
      <c r="D30" s="486">
        <f>IF(C30=0,0,IF(G$17="Plafond respecté",SUMIFS('1-Investissements'!$BL$9:$BL$108,'1-Investissements'!$AG$9:$AG$108,"Oui",'1-Investissements'!$AI$9:$AI$108,B30),$G$16*(SUMIFS('1-Investissements'!$BL$9:$BL$108,'1-Investissements'!$AG$9:$AG$108,"Oui",'1-Investissements'!$AI$9:$AI$108,B30)/$K$16))+SUMIFS('1-Investissements'!$BL$9:$BL$108,'1-Investissements'!$AG$9:$AG$108,"Non",'1-Investissements'!$AI$9:$AI$108,B30)+IF(G$15="Plafond respecté",SUMIFS('2-Frais généraux'!$BH$5:$BH$104,'2-Frais généraux'!$AF$5:$AF$104,B30),$G$14*(SUMIFS('2-Frais généraux'!$BH$5:$BH$104,'2-Frais généraux'!$AF$5:$AF$104,B30)/$L$16))+SUMIFS('3-Contributions en nature'!$S$5:$S$104,'3-Contributions en nature'!$L$5:$L$104,B30)+SUMIFS('4-Amortissement'!$AG$5:$AG$104,'4-Amortissement'!$S$5:$S$104,B30)+SUMIFS('5-Tx forf personnel+autoconst'!$L$6:$L$14,'5-Tx forf personnel+autoconst'!$H$6:$H$14,B30)+SUMIFS('6-Coût unitaire bananes'!$J$5:$J$24,'6-Coût unitaire bananes'!$G$5:$G$24,B30)+SUMIFS('7-Coût unitaire cannes à sucre'!$L$5:$L$24,'7-Coût unitaire cannes à sucre'!$H$5:$H$24,B30))</f>
        <v>0</v>
      </c>
      <c r="E30" s="509">
        <f t="shared" si="2"/>
        <v>0</v>
      </c>
      <c r="F30" s="576"/>
      <c r="G30" s="486">
        <f t="shared" si="3"/>
        <v>0</v>
      </c>
      <c r="H30" s="573">
        <f t="shared" si="4"/>
        <v>0</v>
      </c>
      <c r="I30" s="569">
        <f>IF(OR(G30=0,ROUND($M$17+$S$19+$V$19,2)&gt;=ROUND($D$34,2)),0,IF($M$17+$V$19&gt;$G$18,G30-($V$19+$M$17-$G$18)*H30,G30))</f>
        <v>0</v>
      </c>
      <c r="J30" s="509">
        <f t="shared" si="9"/>
        <v>0</v>
      </c>
      <c r="K30" s="1105"/>
      <c r="L30" s="510">
        <f>IF(I30=0,0,IF($K$25="Oui",I30-($S$19*H30),I30*0.85))</f>
        <v>0</v>
      </c>
      <c r="M30" s="1102"/>
      <c r="N30" s="1102"/>
      <c r="O30" s="510">
        <f t="shared" si="6"/>
        <v>0</v>
      </c>
      <c r="P30" s="486">
        <f t="shared" si="7"/>
        <v>0</v>
      </c>
      <c r="Q30" s="510">
        <f t="shared" si="8"/>
        <v>0</v>
      </c>
      <c r="R30" s="510">
        <f t="shared" si="10"/>
        <v>0</v>
      </c>
      <c r="S30" s="486">
        <f>IF(C30=0,0,SUMIFS('3-Contributions en nature'!$S$5:$S$104,'3-Contributions en nature'!$L$5:$L$104,B30))</f>
        <v>0</v>
      </c>
      <c r="T30" s="510">
        <f t="shared" si="11"/>
        <v>0</v>
      </c>
      <c r="U30" s="511">
        <f t="shared" si="1"/>
        <v>0</v>
      </c>
      <c r="V30" s="611"/>
      <c r="Y30" s="493"/>
    </row>
    <row r="31" spans="2:34" ht="26.25" customHeight="1">
      <c r="B31" s="534" t="s">
        <v>36</v>
      </c>
      <c r="C31" s="486">
        <f>IF(AND($D$16="Règle respectée",$D$15="Seuil respecté"),SUMIFS('1-Investissements'!$BL$9:$BL$108,'1-Investissements'!$AI$9:$AI$108,$B31)+SUMIFS('2-Frais généraux'!$BH$5:$BH$104,'2-Frais généraux'!$AF$5:$AF$104,$B31)+SUMIFS('3-Contributions en nature'!$S$5:$S$104,'3-Contributions en nature'!$L$5:$L$104,$B31)+SUMIFS('4-Amortissement'!$AG$5:$AG$104,'4-Amortissement'!$S$5:$S$104,B31)+SUMIFS('5-Tx forf personnel+autoconst'!$L$6:$L$14,'5-Tx forf personnel+autoconst'!$H$6:$H$14,$B31)+SUMIFS('6-Coût unitaire bananes'!$J$5:$J$24,'6-Coût unitaire bananes'!$G$5:$G$24,$B31)+SUMIFS('7-Coût unitaire cannes à sucre'!$L$5:$L$24,'7-Coût unitaire cannes à sucre'!$H$5:$H$24,$B31),0)</f>
        <v>0</v>
      </c>
      <c r="D31" s="486">
        <f>IF(C31=0,0,IF(G$17="Plafond respecté",SUMIFS('1-Investissements'!$BL$9:$BL$108,'1-Investissements'!$AG$9:$AG$108,"Oui",'1-Investissements'!$AI$9:$AI$108,B31),$G$16*(SUMIFS('1-Investissements'!$BL$9:$BL$108,'1-Investissements'!$AG$9:$AG$108,"Oui",'1-Investissements'!$AI$9:$AI$108,B31)/$K$16))+SUMIFS('1-Investissements'!$BL$9:$BL$108,'1-Investissements'!$AG$9:$AG$108,"Non",'1-Investissements'!$AI$9:$AI$108,B31)+IF(G$15="Plafond respecté",SUMIFS('2-Frais généraux'!$BH$5:$BH$104,'2-Frais généraux'!$AF$5:$AF$104,B31),$G$14*(SUMIFS('2-Frais généraux'!$BH$5:$BH$104,'2-Frais généraux'!$AF$5:$AF$104,B31)/$L$16))+SUMIFS('3-Contributions en nature'!$S$5:$S$104,'3-Contributions en nature'!$L$5:$L$104,B31)+SUMIFS('4-Amortissement'!$AG$5:$AG$104,'4-Amortissement'!$S$5:$S$104,B31)+SUMIFS('5-Tx forf personnel+autoconst'!$L$6:$L$14,'5-Tx forf personnel+autoconst'!$H$6:$H$14,B31)+SUMIFS('6-Coût unitaire bananes'!$J$5:$J$24,'6-Coût unitaire bananes'!$G$5:$G$24,B31)+SUMIFS('7-Coût unitaire cannes à sucre'!$L$5:$L$24,'7-Coût unitaire cannes à sucre'!$H$5:$H$24,B31))</f>
        <v>0</v>
      </c>
      <c r="E31" s="509">
        <f t="shared" si="2"/>
        <v>0</v>
      </c>
      <c r="F31" s="576"/>
      <c r="G31" s="486">
        <f t="shared" si="3"/>
        <v>0</v>
      </c>
      <c r="H31" s="573">
        <f t="shared" si="4"/>
        <v>0</v>
      </c>
      <c r="I31" s="569">
        <f>IF(OR(G31=0,ROUND($M$17+$S$19+$V$19,2)&gt;=ROUND($D$34,2)),0,IF($M$17+$V$19&gt;$G$18,G31-($V$19+$M$17-$G$18)*H31,G31))</f>
        <v>0</v>
      </c>
      <c r="J31" s="509">
        <f t="shared" si="9"/>
        <v>0</v>
      </c>
      <c r="K31" s="1105"/>
      <c r="L31" s="510">
        <f t="shared" si="5"/>
        <v>0</v>
      </c>
      <c r="M31" s="1102"/>
      <c r="N31" s="1102"/>
      <c r="O31" s="510">
        <f t="shared" si="6"/>
        <v>0</v>
      </c>
      <c r="P31" s="486">
        <f t="shared" si="7"/>
        <v>0</v>
      </c>
      <c r="Q31" s="510">
        <f t="shared" si="8"/>
        <v>0</v>
      </c>
      <c r="R31" s="510">
        <f t="shared" si="10"/>
        <v>0</v>
      </c>
      <c r="S31" s="486">
        <f>IF(C31=0,0,SUMIFS('3-Contributions en nature'!$S$5:$S$104,'3-Contributions en nature'!$L$5:$L$104,B31))</f>
        <v>0</v>
      </c>
      <c r="T31" s="510">
        <f t="shared" si="11"/>
        <v>0</v>
      </c>
      <c r="U31" s="511">
        <f t="shared" si="1"/>
        <v>0</v>
      </c>
      <c r="V31" s="611"/>
      <c r="Y31" s="493"/>
    </row>
    <row r="32" spans="2:34" ht="26.25" customHeight="1">
      <c r="B32" s="534" t="s">
        <v>38</v>
      </c>
      <c r="C32" s="486">
        <f>IF(AND($D$15="Seuil respecté",$D$16="Règle respectée",$D$17="Règle respectée"),SUMIFS('1-Investissements'!$BL$9:$BL$108,'1-Investissements'!$AI$9:$AI$108,$B32)+SUMIFS('2-Frais généraux'!$BH$5:$BH$104,'2-Frais généraux'!$AF$5:$AF$104,$B32)+SUMIFS('3-Contributions en nature'!$S$5:$S$104,'3-Contributions en nature'!$L$5:$L$104,$B32)+SUMIFS('4-Amortissement'!$AG$5:$AG$104,'4-Amortissement'!$S$5:$S$104,B32)+SUMIFS('5-Tx forf personnel+autoconst'!$L$6:$L$14,'5-Tx forf personnel+autoconst'!$H$6:$H$14,$B32)+SUMIFS('6-Coût unitaire bananes'!$J$5:$J$24,'6-Coût unitaire bananes'!$G$5:$G$24,$B32)+SUMIFS('7-Coût unitaire cannes à sucre'!$L$5:$L$24,'7-Coût unitaire cannes à sucre'!$H$5:$H$24,$B32),0)</f>
        <v>0</v>
      </c>
      <c r="D32" s="486">
        <f>IF(C32=0,0,IF(G$17="Plafond respecté",SUMIFS('1-Investissements'!$BL$9:$BL$108,'1-Investissements'!$AG$9:$AG$108,"Oui",'1-Investissements'!$AI$9:$AI$108,B32),$G$16*(SUMIFS('1-Investissements'!$BL$9:$BL$108,'1-Investissements'!$AG$9:$AG$108,"Oui",'1-Investissements'!$AI$9:$AI$108,B32)/$K$16))+SUMIFS('1-Investissements'!$BL$9:$BL$108,'1-Investissements'!$AG$9:$AG$108,"Non",'1-Investissements'!$AI$9:$AI$108,B32)+IF(G$15="Plafond respecté",SUMIFS('2-Frais généraux'!$BH$5:$BH$104,'2-Frais généraux'!$AF$5:$AF$104,B32),$G$14*(SUMIFS('2-Frais généraux'!$BH$5:$BH$104,'2-Frais généraux'!$AF$5:$AF$104,B32)/$L$16))+SUMIFS('3-Contributions en nature'!$S$5:$S$104,'3-Contributions en nature'!$L$5:$L$104,B32)+SUMIFS('4-Amortissement'!$AG$5:$AG$104,'4-Amortissement'!$S$5:$S$104,B32)+SUMIFS('5-Tx forf personnel+autoconst'!$L$6:$L$14,'5-Tx forf personnel+autoconst'!$H$6:$H$14,B32)+SUMIFS('6-Coût unitaire bananes'!$J$5:$J$24,'6-Coût unitaire bananes'!$G$5:$G$24,B32)+SUMIFS('7-Coût unitaire cannes à sucre'!$L$5:$L$24,'7-Coût unitaire cannes à sucre'!$H$5:$H$24,B32))</f>
        <v>0</v>
      </c>
      <c r="E32" s="509">
        <f t="shared" si="2"/>
        <v>0</v>
      </c>
      <c r="F32" s="576"/>
      <c r="G32" s="486">
        <f t="shared" si="3"/>
        <v>0</v>
      </c>
      <c r="H32" s="573">
        <f t="shared" si="4"/>
        <v>0</v>
      </c>
      <c r="I32" s="569">
        <f t="shared" si="12"/>
        <v>0</v>
      </c>
      <c r="J32" s="509">
        <f t="shared" si="9"/>
        <v>0</v>
      </c>
      <c r="K32" s="1105"/>
      <c r="L32" s="510">
        <f t="shared" si="5"/>
        <v>0</v>
      </c>
      <c r="M32" s="1102"/>
      <c r="N32" s="1102"/>
      <c r="O32" s="510">
        <f t="shared" si="6"/>
        <v>0</v>
      </c>
      <c r="P32" s="486">
        <f t="shared" si="7"/>
        <v>0</v>
      </c>
      <c r="Q32" s="510">
        <f t="shared" si="8"/>
        <v>0</v>
      </c>
      <c r="R32" s="510">
        <f t="shared" si="10"/>
        <v>0</v>
      </c>
      <c r="S32" s="486">
        <f>IF(C32=0,0,SUMIFS('3-Contributions en nature'!$S$5:$S$104,'3-Contributions en nature'!$L$5:$L$104,B32))</f>
        <v>0</v>
      </c>
      <c r="T32" s="510">
        <f t="shared" si="11"/>
        <v>0</v>
      </c>
      <c r="U32" s="511">
        <f t="shared" si="1"/>
        <v>0</v>
      </c>
      <c r="V32" s="611"/>
      <c r="Y32" s="493"/>
    </row>
    <row r="33" spans="1:25" ht="26.25" customHeight="1" thickBot="1">
      <c r="B33" s="534" t="s">
        <v>227</v>
      </c>
      <c r="C33" s="486">
        <f>IF(AND($D$15="Seuil respecté",$D$16="Règle respectée",$D$18="Règle respectée"),SUMIFS('1-Investissements'!$BL$9:$BL$108,'1-Investissements'!$AI$9:$AI$108,$B33)+SUMIFS('2-Frais généraux'!$BH$5:$BH$104,'2-Frais généraux'!$AF$5:$AF$104,$B33)+SUMIFS('3-Contributions en nature'!$S$5:$S$104,'3-Contributions en nature'!$L$5:$L$104,$B33)+SUMIFS('4-Amortissement'!$AG$5:$AG$104,'4-Amortissement'!$S$5:$S$104,B33)+SUMIFS('5-Tx forf personnel+autoconst'!$L$6:$L$14,'5-Tx forf personnel+autoconst'!$H$6:$H$14,$B33)+SUMIFS('6-Coût unitaire bananes'!$J$5:$J$24,'6-Coût unitaire bananes'!$G$5:$G$24,$B33)+SUMIFS('7-Coût unitaire cannes à sucre'!$L$5:$L$24,'7-Coût unitaire cannes à sucre'!$H$5:$H$24,$B33),0)</f>
        <v>0</v>
      </c>
      <c r="D33" s="486">
        <f>IF(C33=0,0,IF(G$17="Plafond respecté",SUMIFS('1-Investissements'!$BL$9:$BL$108,'1-Investissements'!$AG$9:$AG$108,"Oui",'1-Investissements'!$AI$9:$AI$108,B33),$G$16*(SUMIFS('1-Investissements'!$BL$9:$BL$108,'1-Investissements'!$AG$9:$AG$108,"Oui",'1-Investissements'!$AI$9:$AI$108,B33)/$K$16))+SUMIFS('1-Investissements'!$BL$9:$BL$108,'1-Investissements'!$AG$9:$AG$108,"Non",'1-Investissements'!$AI$9:$AI$108,B33)+IF(G$15="Plafond respecté",SUMIFS('2-Frais généraux'!$BH$5:$BH$104,'2-Frais généraux'!$AF$5:$AF$104,B33),$G$14*(SUMIFS('2-Frais généraux'!$BH$5:$BH$104,'2-Frais généraux'!$AF$5:$AF$104,B33)/$L$16))+SUMIFS('3-Contributions en nature'!$S$5:$S$104,'3-Contributions en nature'!$L$5:$L$104,B33)+SUMIFS('4-Amortissement'!$AG$5:$AG$104,'4-Amortissement'!$S$5:$S$104,B33)+SUMIFS('5-Tx forf personnel+autoconst'!$L$6:$L$14,'5-Tx forf personnel+autoconst'!$H$6:$H$14,B33)+SUMIFS('6-Coût unitaire bananes'!$J$5:$J$24,'6-Coût unitaire bananes'!$G$5:$G$24,B33)+SUMIFS('7-Coût unitaire cannes à sucre'!$L$5:$L$24,'7-Coût unitaire cannes à sucre'!$H$5:$H$24,B33))</f>
        <v>0</v>
      </c>
      <c r="E33" s="509">
        <f t="shared" si="2"/>
        <v>0</v>
      </c>
      <c r="F33" s="469"/>
      <c r="G33" s="486">
        <f t="shared" si="3"/>
        <v>0</v>
      </c>
      <c r="H33" s="573">
        <f t="shared" si="4"/>
        <v>0</v>
      </c>
      <c r="I33" s="569">
        <f>IF(OR(G33=0,ROUND($M$17+$S$19+$V$19,2)&gt;=ROUND($D$34,2)),0,IF($M$17+$V$19&gt;$G$18,G33-($V$19+$M$17-$G$18)*H33,G33))</f>
        <v>0</v>
      </c>
      <c r="J33" s="509">
        <f t="shared" si="9"/>
        <v>0</v>
      </c>
      <c r="K33" s="1106"/>
      <c r="L33" s="510">
        <f t="shared" si="5"/>
        <v>0</v>
      </c>
      <c r="M33" s="1103"/>
      <c r="N33" s="1103"/>
      <c r="O33" s="510">
        <f t="shared" si="6"/>
        <v>0</v>
      </c>
      <c r="P33" s="486">
        <f t="shared" si="7"/>
        <v>0</v>
      </c>
      <c r="Q33" s="510">
        <f t="shared" si="8"/>
        <v>0</v>
      </c>
      <c r="R33" s="510">
        <f t="shared" si="10"/>
        <v>0</v>
      </c>
      <c r="S33" s="486">
        <f>IF(C33=0,0,SUMIFS('3-Contributions en nature'!$S$5:$S$104,'3-Contributions en nature'!$L$5:$L$104,B33))</f>
        <v>0</v>
      </c>
      <c r="T33" s="510">
        <f t="shared" si="11"/>
        <v>0</v>
      </c>
      <c r="U33" s="511">
        <f t="shared" si="1"/>
        <v>0</v>
      </c>
      <c r="V33" s="612"/>
      <c r="Y33" s="493"/>
    </row>
    <row r="34" spans="1:25" s="513" customFormat="1" ht="23.25" customHeight="1" thickBot="1">
      <c r="B34" s="535"/>
      <c r="C34" s="536">
        <f>SUM(C25:C33)</f>
        <v>0</v>
      </c>
      <c r="D34" s="536">
        <f>SUM(D25:D33)</f>
        <v>0</v>
      </c>
      <c r="E34" s="537">
        <f>IF($D$34=0,0,D34/$D$34)</f>
        <v>0</v>
      </c>
      <c r="F34" s="537">
        <f>IF(D34=0,0,G34/D34)</f>
        <v>0</v>
      </c>
      <c r="G34" s="538">
        <f>IFERROR(SUM(G25:G33),0)</f>
        <v>0</v>
      </c>
      <c r="H34" s="537">
        <f>IF($G$34=0,0,G34/$G$34)</f>
        <v>0</v>
      </c>
      <c r="I34" s="536">
        <f>IF(G34=0,0,IF($M$17+$V$19&gt;$G$18,G34-($V$19+$M$17-$G$18)*H34,G34))</f>
        <v>0</v>
      </c>
      <c r="J34" s="537">
        <f>IF(D34=0,0,I34/D34)</f>
        <v>0</v>
      </c>
      <c r="K34" s="537"/>
      <c r="L34" s="536">
        <f>IF(I34=0,0,ROUNDDOWN(IF($K$25="Oui",I34-($S$19*H34),I34*0.85),2))</f>
        <v>0</v>
      </c>
      <c r="M34" s="537"/>
      <c r="N34" s="537"/>
      <c r="O34" s="539">
        <f>IF(I34=0,0,IF($K$25="Oui",ROUNDUP(0.15*L34/0.85,2),I34-L34))</f>
        <v>0</v>
      </c>
      <c r="P34" s="539">
        <f>IF(H34=0,0,IF($K$25="Oui",O34,$S$19*H34))</f>
        <v>0</v>
      </c>
      <c r="Q34" s="539">
        <f t="shared" si="8"/>
        <v>0</v>
      </c>
      <c r="R34" s="539">
        <f>IF($S$19=0,0,H34*$S$19-P34)</f>
        <v>0</v>
      </c>
      <c r="S34" s="539">
        <f>SUM(S25:S33)</f>
        <v>0</v>
      </c>
      <c r="T34" s="539">
        <f t="shared" si="11"/>
        <v>0</v>
      </c>
      <c r="U34" s="539">
        <f t="shared" si="1"/>
        <v>0</v>
      </c>
      <c r="V34" s="540" t="str">
        <f>IF(N34="","",J34-N34-Q34-U34)</f>
        <v/>
      </c>
      <c r="Y34" s="514"/>
    </row>
    <row r="35" spans="1:25" s="169" customFormat="1" ht="23.25" customHeight="1">
      <c r="Y35" s="498"/>
    </row>
    <row r="36" spans="1:25" ht="23.25" customHeight="1">
      <c r="Y36" s="493"/>
    </row>
    <row r="37" spans="1:25">
      <c r="O37" s="622"/>
      <c r="Y37" s="493"/>
    </row>
    <row r="38" spans="1:25">
      <c r="B38" s="496"/>
      <c r="O38" s="645"/>
      <c r="Y38" s="493"/>
    </row>
    <row r="39" spans="1:25">
      <c r="B39" s="496"/>
      <c r="O39" s="645"/>
      <c r="Y39" s="493"/>
    </row>
    <row r="40" spans="1:25">
      <c r="B40" s="496"/>
      <c r="N40" s="645"/>
      <c r="Y40" s="493"/>
    </row>
    <row r="41" spans="1:25" ht="29.25" customHeight="1">
      <c r="B41" s="496"/>
      <c r="N41" s="646"/>
      <c r="Y41" s="493"/>
    </row>
    <row r="42" spans="1:25">
      <c r="B42" s="496"/>
      <c r="Y42" s="493"/>
    </row>
    <row r="43" spans="1:25" ht="15.95" thickBot="1">
      <c r="B43" s="499"/>
      <c r="C43" s="500"/>
      <c r="D43" s="500"/>
      <c r="E43" s="500"/>
      <c r="F43" s="500"/>
      <c r="G43" s="500"/>
      <c r="H43" s="500"/>
      <c r="I43" s="500"/>
      <c r="J43" s="500"/>
      <c r="K43" s="500"/>
      <c r="L43" s="500"/>
      <c r="M43" s="500"/>
      <c r="N43" s="500"/>
      <c r="O43" s="500"/>
      <c r="P43" s="500"/>
      <c r="Q43" s="500"/>
      <c r="R43" s="500"/>
      <c r="S43" s="500"/>
      <c r="T43" s="500"/>
      <c r="U43" s="500"/>
      <c r="V43" s="500"/>
      <c r="W43" s="500"/>
      <c r="X43" s="500"/>
      <c r="Y43" s="501"/>
    </row>
    <row r="44" spans="1:25" ht="17.25" customHeight="1"/>
    <row r="45" spans="1:25"/>
    <row r="46" spans="1:25"/>
    <row r="47" spans="1:25" outlineLevel="1">
      <c r="A47"/>
      <c r="B47"/>
      <c r="C47"/>
      <c r="D47"/>
      <c r="E47"/>
    </row>
    <row r="48" spans="1:25" outlineLevel="1">
      <c r="A48"/>
      <c r="B48"/>
      <c r="C48"/>
      <c r="D48"/>
      <c r="E48"/>
    </row>
    <row r="49" spans="1:5" outlineLevel="1">
      <c r="A49"/>
      <c r="B49"/>
      <c r="C49"/>
      <c r="D49"/>
      <c r="E49"/>
    </row>
    <row r="50" spans="1:5" outlineLevel="1">
      <c r="A50"/>
      <c r="B50"/>
      <c r="C50"/>
      <c r="D50"/>
      <c r="E50"/>
    </row>
    <row r="51" spans="1:5" outlineLevel="1">
      <c r="A51"/>
      <c r="B51"/>
      <c r="C51"/>
      <c r="D51"/>
      <c r="E51"/>
    </row>
    <row r="52" spans="1:5" outlineLevel="1">
      <c r="A52"/>
      <c r="B52"/>
      <c r="C52"/>
      <c r="D52"/>
      <c r="E52"/>
    </row>
    <row r="53" spans="1:5" outlineLevel="1">
      <c r="A53"/>
      <c r="B53"/>
      <c r="C53"/>
      <c r="D53"/>
      <c r="E53"/>
    </row>
    <row r="54" spans="1:5" ht="15.75" customHeight="1" outlineLevel="1">
      <c r="A54"/>
      <c r="B54"/>
      <c r="C54"/>
      <c r="D54"/>
      <c r="E54"/>
    </row>
    <row r="55" spans="1:5" outlineLevel="1">
      <c r="A55"/>
      <c r="B55"/>
      <c r="C55"/>
      <c r="D55"/>
      <c r="E55"/>
    </row>
    <row r="56" spans="1:5" ht="27.95" customHeight="1" outlineLevel="1">
      <c r="A56"/>
      <c r="B56"/>
      <c r="C56"/>
      <c r="D56"/>
      <c r="E56"/>
    </row>
    <row r="57" spans="1:5" outlineLevel="1">
      <c r="A57"/>
      <c r="B57"/>
      <c r="C57"/>
      <c r="D57"/>
      <c r="E57"/>
    </row>
  </sheetData>
  <sheetProtection formatCells="0" formatColumns="0" insertColumns="0"/>
  <mergeCells count="49">
    <mergeCell ref="AA19:AB19"/>
    <mergeCell ref="B18:C18"/>
    <mergeCell ref="B19:C19"/>
    <mergeCell ref="E17:F17"/>
    <mergeCell ref="E18:F18"/>
    <mergeCell ref="E19:F19"/>
    <mergeCell ref="B17:C17"/>
    <mergeCell ref="H23:H24"/>
    <mergeCell ref="B22:W22"/>
    <mergeCell ref="B23:B24"/>
    <mergeCell ref="C23:C24"/>
    <mergeCell ref="E23:E24"/>
    <mergeCell ref="M25:M33"/>
    <mergeCell ref="K25:K33"/>
    <mergeCell ref="N25:N33"/>
    <mergeCell ref="AE10:AF10"/>
    <mergeCell ref="AE15:AF15"/>
    <mergeCell ref="B11:Y11"/>
    <mergeCell ref="I13:Q13"/>
    <mergeCell ref="I14:I15"/>
    <mergeCell ref="J14:K14"/>
    <mergeCell ref="M14:M15"/>
    <mergeCell ref="N14:N15"/>
    <mergeCell ref="O14:Q14"/>
    <mergeCell ref="E14:F14"/>
    <mergeCell ref="S13:X13"/>
    <mergeCell ref="AA12:AB12"/>
    <mergeCell ref="AA13:AB13"/>
    <mergeCell ref="B14:C14"/>
    <mergeCell ref="B15:C15"/>
    <mergeCell ref="B13:G13"/>
    <mergeCell ref="B1:Y1"/>
    <mergeCell ref="AE17:AF17"/>
    <mergeCell ref="L14:L15"/>
    <mergeCell ref="B6:G6"/>
    <mergeCell ref="B7:D7"/>
    <mergeCell ref="I6:O6"/>
    <mergeCell ref="B4:Y4"/>
    <mergeCell ref="B2:Y2"/>
    <mergeCell ref="E15:F15"/>
    <mergeCell ref="E16:F16"/>
    <mergeCell ref="AA16:AB16"/>
    <mergeCell ref="B16:C16"/>
    <mergeCell ref="AE18:AF18"/>
    <mergeCell ref="AE16:AF16"/>
    <mergeCell ref="AE11:AF11"/>
    <mergeCell ref="AE12:AF12"/>
    <mergeCell ref="AE13:AF13"/>
    <mergeCell ref="AE14:AF14"/>
  </mergeCells>
  <conditionalFormatting sqref="D14:D18">
    <cfRule type="notContainsText" dxfId="5" priority="1" stopIfTrue="1" operator="notContains" text="respecté">
      <formula>ISERROR(SEARCH("respecté",D14))</formula>
    </cfRule>
    <cfRule type="containsText" dxfId="4" priority="14" operator="containsText" text="respecté">
      <formula>NOT(ISERROR(SEARCH("respecté",D14)))</formula>
    </cfRule>
  </conditionalFormatting>
  <conditionalFormatting sqref="G15 G17">
    <cfRule type="containsText" dxfId="3" priority="3" stopIfTrue="1" operator="containsText" text="doit">
      <formula>NOT(ISERROR(SEARCH("doit",G15)))</formula>
    </cfRule>
    <cfRule type="notContainsText" dxfId="2" priority="4" operator="notContains" text="doit">
      <formula>ISERROR(SEARCH("doit",G15))</formula>
    </cfRule>
  </conditionalFormatting>
  <conditionalFormatting sqref="G19">
    <cfRule type="containsText" dxfId="1" priority="5" stopIfTrue="1" operator="containsText" text="doit">
      <formula>NOT(ISERROR(SEARCH("doit",G19)))</formula>
    </cfRule>
    <cfRule type="notContainsText" dxfId="0" priority="6" stopIfTrue="1" operator="notContains" text="doit">
      <formula>ISERROR(SEARCH("doit",G19))</formula>
    </cfRule>
  </conditionalFormatting>
  <dataValidations count="2">
    <dataValidation type="list" allowBlank="1" showInputMessage="1" showErrorMessage="1" sqref="K25" xr:uid="{1251D37A-2B1F-4A6C-BD7E-E6E6234B91ED}">
      <formula1>"Oui,Non,Non concerné"</formula1>
    </dataValidation>
    <dataValidation type="list" allowBlank="1" showInputMessage="1" showErrorMessage="1" sqref="X19 U19" xr:uid="{E52CB88F-CF1E-EA4D-86A8-0322DB757820}">
      <formula1>"Oui,Non"</formula1>
    </dataValidation>
  </dataValidations>
  <pageMargins left="0.7" right="0.7" top="0.75" bottom="0.75" header="0.3" footer="0.3"/>
  <pageSetup paperSize="9" scale="31"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3606C42E-318C-444D-8CD1-25BC159885E2}">
          <x14:formula1>
            <xm:f>'0-Présentation typeaction'!$H$4:$H$12</xm:f>
          </x14:formula1>
          <xm:sqref>B25:B33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3CC-AD5D-284A-BB57-48E0AA7F0DCF}">
  <dimension ref="E1:S146"/>
  <sheetViews>
    <sheetView showGridLines="0" topLeftCell="A36" zoomScale="65" zoomScaleNormal="85" workbookViewId="0">
      <selection activeCell="N39" sqref="N39"/>
    </sheetView>
  </sheetViews>
  <sheetFormatPr defaultColWidth="11.42578125" defaultRowHeight="15"/>
  <cols>
    <col min="5" max="5" width="37" customWidth="1"/>
    <col min="6" max="6" width="34.140625" customWidth="1"/>
    <col min="7" max="7" width="38" customWidth="1"/>
    <col min="8" max="8" width="17.42578125" style="322" customWidth="1"/>
    <col min="9" max="9" width="66.42578125" customWidth="1"/>
    <col min="10" max="10" width="30" customWidth="1"/>
    <col min="11" max="11" width="26.42578125" customWidth="1"/>
    <col min="13" max="18" width="27.140625" customWidth="1"/>
  </cols>
  <sheetData>
    <row r="1" spans="5:11" ht="23.1" thickBot="1">
      <c r="E1" s="311" t="s">
        <v>417</v>
      </c>
      <c r="F1" s="311"/>
      <c r="G1" s="312"/>
      <c r="H1" s="319"/>
      <c r="I1" s="312"/>
      <c r="J1" s="312"/>
      <c r="K1" s="312"/>
    </row>
    <row r="2" spans="5:11" ht="48" customHeight="1" thickBot="1">
      <c r="E2" s="1172" t="s">
        <v>418</v>
      </c>
      <c r="F2" s="1173"/>
      <c r="G2" s="1173"/>
      <c r="H2" s="1173"/>
      <c r="I2" s="1173"/>
      <c r="J2" s="1173"/>
      <c r="K2" s="1174"/>
    </row>
    <row r="3" spans="5:11" ht="23.1" thickBot="1">
      <c r="E3" s="313" t="s">
        <v>419</v>
      </c>
      <c r="F3" s="313"/>
      <c r="G3" s="314"/>
      <c r="H3" s="320"/>
      <c r="I3" s="314"/>
      <c r="J3" s="314"/>
      <c r="K3" s="314"/>
    </row>
    <row r="4" spans="5:11" ht="18.95">
      <c r="E4" s="1175" t="s">
        <v>420</v>
      </c>
      <c r="F4" s="1176"/>
      <c r="G4" s="1176"/>
      <c r="H4" s="1176"/>
      <c r="I4" s="1176"/>
      <c r="J4" s="1176"/>
      <c r="K4" s="1177"/>
    </row>
    <row r="5" spans="5:11" ht="6.95" customHeight="1" thickBot="1">
      <c r="E5" s="893"/>
      <c r="F5" s="894"/>
      <c r="G5" s="894"/>
      <c r="H5" s="895"/>
      <c r="I5" s="894"/>
      <c r="J5" s="894"/>
      <c r="K5" s="896"/>
    </row>
    <row r="6" spans="5:11" ht="42.75" customHeight="1">
      <c r="E6" s="1178" t="s">
        <v>421</v>
      </c>
      <c r="F6" s="1178"/>
      <c r="G6" s="1178"/>
      <c r="H6" s="1178"/>
      <c r="I6" s="1178"/>
      <c r="J6" s="1178"/>
      <c r="K6" s="1178"/>
    </row>
    <row r="7" spans="5:11" ht="35.1" thickBot="1">
      <c r="E7" s="315"/>
      <c r="F7" s="315"/>
      <c r="G7" s="315"/>
      <c r="H7" s="321"/>
      <c r="I7" s="315"/>
      <c r="J7" s="315"/>
      <c r="K7" s="315"/>
    </row>
    <row r="8" spans="5:11" ht="21">
      <c r="E8" s="1179" t="s">
        <v>0</v>
      </c>
      <c r="F8" s="1179"/>
      <c r="G8" s="1179"/>
      <c r="H8" s="1179"/>
      <c r="I8" s="1179"/>
      <c r="J8" s="1179"/>
      <c r="K8" s="1180"/>
    </row>
    <row r="9" spans="5:11" ht="26.1">
      <c r="E9" s="1165" t="str">
        <f>Accueil!A9</f>
        <v>SAISIR ICI L'INTITULE DE L'OPERATION</v>
      </c>
      <c r="F9" s="1165"/>
      <c r="G9" s="1165"/>
      <c r="H9" s="1165"/>
      <c r="I9" s="1165"/>
      <c r="J9" s="1165"/>
      <c r="K9" s="1166"/>
    </row>
    <row r="10" spans="5:11" ht="26.1">
      <c r="E10" s="1165" t="str">
        <f>Accueil!A10</f>
        <v>SAISIR ICI LE NUMERO DU DOSSIER EUROPAC</v>
      </c>
      <c r="F10" s="1165"/>
      <c r="G10" s="1165"/>
      <c r="H10" s="1165"/>
      <c r="I10" s="1165"/>
      <c r="J10" s="1165"/>
      <c r="K10" s="1166"/>
    </row>
    <row r="11" spans="5:11" ht="26.25" customHeight="1">
      <c r="E11" s="1165" t="str">
        <f>Accueil!A11</f>
        <v>SAISIR ICI LE NOM DU DEMANDEUR OU DE LA STRUCTURE PORTEUSE</v>
      </c>
      <c r="F11" s="1165"/>
      <c r="G11" s="1165"/>
      <c r="H11" s="1165"/>
      <c r="I11" s="1165"/>
      <c r="J11" s="1165"/>
      <c r="K11" s="1166"/>
    </row>
    <row r="12" spans="5:11" ht="21">
      <c r="E12" s="1167" t="str">
        <f>Accueil!A12</f>
        <v>Mesure 73.01 : Investissements dans les entreprises agricoles (« on farm »)</v>
      </c>
      <c r="F12" s="1167"/>
      <c r="G12" s="1167"/>
      <c r="H12" s="1167"/>
      <c r="I12" s="1167"/>
      <c r="J12" s="1167"/>
      <c r="K12" s="1168"/>
    </row>
    <row r="13" spans="5:11" ht="21">
      <c r="E13" s="316"/>
      <c r="F13" s="521"/>
      <c r="G13" s="521"/>
      <c r="H13" s="522"/>
      <c r="I13" s="521"/>
      <c r="J13" s="521"/>
      <c r="K13" s="317"/>
    </row>
    <row r="14" spans="5:11" ht="30" thickBot="1">
      <c r="E14" s="1169" t="s">
        <v>422</v>
      </c>
      <c r="F14" s="1169"/>
      <c r="G14" s="1169"/>
      <c r="H14" s="1169"/>
      <c r="I14" s="1169"/>
      <c r="J14" s="1169"/>
      <c r="K14" s="1170"/>
    </row>
    <row r="15" spans="5:11" ht="15.95">
      <c r="E15" s="1171" t="s">
        <v>423</v>
      </c>
      <c r="F15" s="1171"/>
      <c r="G15" s="1171"/>
      <c r="H15" s="1171"/>
      <c r="I15" s="1171"/>
      <c r="J15" s="1171"/>
      <c r="K15" s="1171"/>
    </row>
    <row r="17" spans="5:10" ht="15.95" thickBot="1"/>
    <row r="18" spans="5:10" ht="30" customHeight="1" thickBot="1">
      <c r="E18" s="1153" t="s">
        <v>424</v>
      </c>
      <c r="F18" s="1153"/>
      <c r="G18" s="1153"/>
      <c r="I18" s="1181" t="s">
        <v>425</v>
      </c>
      <c r="J18" s="1182"/>
    </row>
    <row r="19" spans="5:10" ht="48" customHeight="1" thickBot="1">
      <c r="E19" s="1193" t="s">
        <v>426</v>
      </c>
      <c r="F19" s="1193"/>
      <c r="G19" s="391" t="s">
        <v>393</v>
      </c>
      <c r="I19" s="554" t="s">
        <v>427</v>
      </c>
      <c r="J19" s="555">
        <f>'Syn pf Instructeur'!D34</f>
        <v>0</v>
      </c>
    </row>
    <row r="20" spans="5:10" ht="23.25" customHeight="1" thickBot="1">
      <c r="E20" s="1190" t="s">
        <v>428</v>
      </c>
      <c r="F20" s="1191"/>
      <c r="G20" s="1192"/>
      <c r="I20" s="340" t="s">
        <v>351</v>
      </c>
      <c r="J20" s="561">
        <f>'Syn pf Instructeur'!J9</f>
        <v>0</v>
      </c>
    </row>
    <row r="21" spans="5:10" ht="21.95">
      <c r="E21" s="554" t="s">
        <v>429</v>
      </c>
      <c r="F21" s="598">
        <f>'Syn pf Instructeur'!J16+'Syn pf Instructeur'!K16</f>
        <v>0</v>
      </c>
      <c r="G21" s="555">
        <f>'Syn pf Instructeur'!J17+'Syn pf Instructeur'!K17</f>
        <v>0</v>
      </c>
      <c r="I21" s="340" t="s">
        <v>430</v>
      </c>
      <c r="J21" s="343">
        <f>'Syn pf Instructeur'!K9</f>
        <v>0</v>
      </c>
    </row>
    <row r="22" spans="5:10" ht="21.95">
      <c r="E22" s="340" t="s">
        <v>270</v>
      </c>
      <c r="F22" s="342">
        <f>'Syn pf Instructeur'!L16</f>
        <v>0</v>
      </c>
      <c r="G22" s="343">
        <f>'Syn pf Instructeur'!L17</f>
        <v>0</v>
      </c>
      <c r="I22" s="556" t="s">
        <v>431</v>
      </c>
      <c r="J22" s="557">
        <f>'Syn pf Instructeur'!L34</f>
        <v>0</v>
      </c>
    </row>
    <row r="23" spans="5:10" ht="21.95">
      <c r="E23" s="340" t="s">
        <v>432</v>
      </c>
      <c r="F23" s="342">
        <f>'Syn pf Instructeur'!M16</f>
        <v>0</v>
      </c>
      <c r="G23" s="343">
        <f>'Syn pf Instructeur'!M17</f>
        <v>0</v>
      </c>
      <c r="I23" s="556" t="s">
        <v>433</v>
      </c>
      <c r="J23" s="557">
        <f>'Syn pf Instructeur'!Q34</f>
        <v>0</v>
      </c>
    </row>
    <row r="24" spans="5:10" ht="21.95">
      <c r="E24" s="341" t="s">
        <v>272</v>
      </c>
      <c r="F24" s="342">
        <f>'Syn pf Instructeur'!N16</f>
        <v>0</v>
      </c>
      <c r="G24" s="343">
        <f>'Syn pf Instructeur'!N17</f>
        <v>0</v>
      </c>
      <c r="I24" s="558" t="s">
        <v>434</v>
      </c>
      <c r="J24" s="557" t="str">
        <f>'Syn pf Instructeur'!S16</f>
        <v/>
      </c>
    </row>
    <row r="25" spans="5:10" ht="21.95">
      <c r="E25" s="341" t="s">
        <v>435</v>
      </c>
      <c r="F25" s="342">
        <f>'Syn pf Instructeur'!O16</f>
        <v>0</v>
      </c>
      <c r="G25" s="343">
        <f>'Syn pf Instructeur'!O17</f>
        <v>0</v>
      </c>
      <c r="I25" s="558" t="s">
        <v>436</v>
      </c>
      <c r="J25" s="557" t="str">
        <f>'Syn pf Instructeur'!S17</f>
        <v/>
      </c>
    </row>
    <row r="26" spans="5:10" ht="21.95">
      <c r="E26" s="341" t="s">
        <v>276</v>
      </c>
      <c r="F26" s="342">
        <f>'Syn pf Instructeur'!P16</f>
        <v>0</v>
      </c>
      <c r="G26" s="343">
        <f>'Syn pf Instructeur'!P17</f>
        <v>0</v>
      </c>
      <c r="I26" s="558" t="s">
        <v>437</v>
      </c>
      <c r="J26" s="557" t="str">
        <f>'Syn pf Instructeur'!S18</f>
        <v/>
      </c>
    </row>
    <row r="27" spans="5:10" ht="23.1" thickBot="1">
      <c r="E27" s="389" t="s">
        <v>277</v>
      </c>
      <c r="F27" s="386">
        <f>'Syn pf Instructeur'!Q16</f>
        <v>0</v>
      </c>
      <c r="G27" s="387">
        <f>'Syn pf Instructeur'!Q17</f>
        <v>0</v>
      </c>
      <c r="I27" s="340" t="s">
        <v>438</v>
      </c>
      <c r="J27" s="343">
        <f>'Syn pf Instructeur'!V19</f>
        <v>0</v>
      </c>
    </row>
    <row r="28" spans="5:10" ht="23.1" thickBot="1">
      <c r="E28" s="595" t="s">
        <v>439</v>
      </c>
      <c r="F28" s="596">
        <f>SUM(F21:F27)</f>
        <v>0</v>
      </c>
      <c r="G28" s="597">
        <f>SUM(G21:G27)</f>
        <v>0</v>
      </c>
      <c r="I28" s="558" t="s">
        <v>440</v>
      </c>
      <c r="J28" s="557" t="str">
        <f>'Syn pf Instructeur'!V16</f>
        <v/>
      </c>
    </row>
    <row r="29" spans="5:10" ht="24.95" thickBot="1">
      <c r="E29" s="1190" t="s">
        <v>441</v>
      </c>
      <c r="F29" s="1191"/>
      <c r="G29" s="1192"/>
      <c r="I29" s="558" t="s">
        <v>442</v>
      </c>
      <c r="J29" s="557" t="str">
        <f>'Syn pf Instructeur'!V17</f>
        <v/>
      </c>
    </row>
    <row r="30" spans="5:10" ht="44.1">
      <c r="E30" s="599" t="s">
        <v>27</v>
      </c>
      <c r="F30" s="600">
        <f>'Syn pf Instructeur'!C25</f>
        <v>0</v>
      </c>
      <c r="G30" s="601">
        <f>'Syn pf Instructeur'!D25</f>
        <v>0</v>
      </c>
      <c r="I30" s="558" t="s">
        <v>443</v>
      </c>
      <c r="J30" s="557" t="str">
        <f>'Syn pf Instructeur'!V18</f>
        <v/>
      </c>
    </row>
    <row r="31" spans="5:10" ht="44.1">
      <c r="E31" s="398" t="s">
        <v>29</v>
      </c>
      <c r="F31" s="396">
        <f>'Syn pf Instructeur'!C26</f>
        <v>0</v>
      </c>
      <c r="G31" s="399">
        <f>'Syn pf Instructeur'!D26</f>
        <v>0</v>
      </c>
      <c r="I31" s="340" t="s">
        <v>444</v>
      </c>
      <c r="J31" s="343">
        <f>'Syn pf Instructeur'!S34</f>
        <v>0</v>
      </c>
    </row>
    <row r="32" spans="5:10" ht="21.95">
      <c r="E32" s="398" t="s">
        <v>30</v>
      </c>
      <c r="F32" s="396">
        <f>'Syn pf Instructeur'!C27</f>
        <v>0</v>
      </c>
      <c r="G32" s="399">
        <f>'Syn pf Instructeur'!D27</f>
        <v>0</v>
      </c>
      <c r="I32" s="340" t="s">
        <v>445</v>
      </c>
      <c r="J32" s="343">
        <f>'Syn pf Instructeur'!T34</f>
        <v>0</v>
      </c>
    </row>
    <row r="33" spans="5:10" ht="23.1" thickBot="1">
      <c r="E33" s="398" t="s">
        <v>32</v>
      </c>
      <c r="F33" s="396">
        <f>'Syn pf Instructeur'!C28</f>
        <v>0</v>
      </c>
      <c r="G33" s="399">
        <f>'Syn pf Instructeur'!D28</f>
        <v>0</v>
      </c>
      <c r="I33" s="559" t="s">
        <v>446</v>
      </c>
      <c r="J33" s="560">
        <f>J21+J32+J27+J31</f>
        <v>0</v>
      </c>
    </row>
    <row r="34" spans="5:10" ht="21.95">
      <c r="E34" s="398" t="s">
        <v>33</v>
      </c>
      <c r="F34" s="396">
        <f>'Syn pf Instructeur'!C29</f>
        <v>0</v>
      </c>
      <c r="G34" s="399">
        <f>'Syn pf Instructeur'!D29</f>
        <v>0</v>
      </c>
    </row>
    <row r="35" spans="5:10" ht="44.1">
      <c r="E35" s="398" t="s">
        <v>35</v>
      </c>
      <c r="F35" s="396">
        <f>'Syn pf Instructeur'!C30</f>
        <v>0</v>
      </c>
      <c r="G35" s="399">
        <f>'Syn pf Instructeur'!D30</f>
        <v>0</v>
      </c>
    </row>
    <row r="36" spans="5:10" ht="21.95">
      <c r="E36" s="398" t="s">
        <v>36</v>
      </c>
      <c r="F36" s="396">
        <f>'Syn pf Instructeur'!C31</f>
        <v>0</v>
      </c>
      <c r="G36" s="399">
        <f>'Syn pf Instructeur'!D31</f>
        <v>0</v>
      </c>
    </row>
    <row r="37" spans="5:10" ht="44.1">
      <c r="E37" s="398" t="s">
        <v>226</v>
      </c>
      <c r="F37" s="396">
        <f>'Syn pf Instructeur'!C32</f>
        <v>0</v>
      </c>
      <c r="G37" s="399">
        <f>'Syn pf Instructeur'!D32</f>
        <v>0</v>
      </c>
    </row>
    <row r="38" spans="5:10" ht="45" thickBot="1">
      <c r="E38" s="400" t="s">
        <v>227</v>
      </c>
      <c r="F38" s="397">
        <f>'Syn pf Instructeur'!C33</f>
        <v>0</v>
      </c>
      <c r="G38" s="399">
        <f>'Syn pf Instructeur'!D33</f>
        <v>0</v>
      </c>
    </row>
    <row r="39" spans="5:10" ht="27.95" customHeight="1" thickBot="1">
      <c r="E39" s="401" t="s">
        <v>439</v>
      </c>
      <c r="F39" s="402">
        <f>SUM(F30:F38)</f>
        <v>0</v>
      </c>
      <c r="G39" s="403">
        <f>SUM(G30:G38)</f>
        <v>0</v>
      </c>
      <c r="H39" s="388"/>
    </row>
    <row r="40" spans="5:10" ht="48" customHeight="1" thickBot="1">
      <c r="E40" s="390"/>
    </row>
    <row r="41" spans="5:10" ht="50.25" customHeight="1" thickBot="1">
      <c r="E41" s="1153" t="s">
        <v>447</v>
      </c>
      <c r="F41" s="1154"/>
      <c r="G41" s="1154"/>
      <c r="H41" s="1154"/>
      <c r="I41" s="1154"/>
      <c r="J41" s="1155"/>
    </row>
    <row r="42" spans="5:10" ht="81.95" customHeight="1">
      <c r="E42" s="344" t="s">
        <v>448</v>
      </c>
      <c r="F42" s="318" t="s">
        <v>52</v>
      </c>
      <c r="G42" s="318" t="s">
        <v>55</v>
      </c>
      <c r="H42" s="339" t="s">
        <v>54</v>
      </c>
      <c r="I42" s="318" t="s">
        <v>449</v>
      </c>
      <c r="J42" s="345" t="s">
        <v>426</v>
      </c>
    </row>
    <row r="43" spans="5:10" ht="24" customHeight="1" thickBot="1">
      <c r="E43" s="1187" t="s">
        <v>374</v>
      </c>
      <c r="F43" s="1188"/>
      <c r="G43" s="1188"/>
      <c r="H43" s="1188"/>
      <c r="I43" s="1188"/>
      <c r="J43" s="1189"/>
    </row>
    <row r="44" spans="5:10" ht="21.95">
      <c r="E44" s="346">
        <f>IF('1-Investissements'!A9="","", '1-Investissements'!A9)</f>
        <v>1</v>
      </c>
      <c r="F44" s="347" t="str">
        <f>IF('1-Investissements'!AF9="","", '1-Investissements'!AF9)</f>
        <v/>
      </c>
      <c r="G44" s="347" t="str">
        <f>IF('1-Investissements'!AI9="","", '1-Investissements'!AI9)</f>
        <v/>
      </c>
      <c r="H44" s="348" t="str">
        <f>IF('1-Investissements'!AH9="","", '1-Investissements'!AH9)</f>
        <v/>
      </c>
      <c r="I44" s="394" t="str">
        <f>IF(F44="","",IF(VLOOKUP(F44,'1-Investissements'!B9:C108,2,TRUE)="Oui","Il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4" s="360" t="str">
        <f>IF('1-Investissements'!BL9="","", '1-Investissements'!BL9)</f>
        <v/>
      </c>
    </row>
    <row r="45" spans="5:10" ht="21.95">
      <c r="E45" s="349">
        <f>IF('1-Investissements'!A10="","", '1-Investissements'!A10)</f>
        <v>2</v>
      </c>
      <c r="F45" s="350" t="str">
        <f>IF('1-Investissements'!AF10="","", '1-Investissements'!AF10)</f>
        <v/>
      </c>
      <c r="G45" s="350" t="str">
        <f>IF('1-Investissements'!AI10="","", '1-Investissements'!AI10)</f>
        <v/>
      </c>
      <c r="H45" s="392" t="str">
        <f>IF('1-Investissements'!AH10="","", '1-Investissements'!AH10)</f>
        <v/>
      </c>
      <c r="I45" s="356" t="str">
        <f>IF(F45="","",IF(VLOOKUP(F45,'1-Investissements'!B10:C109,2,TRUE)="Oui","Il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5" s="393" t="str">
        <f>IF('1-Investissements'!BL10="","", '1-Investissements'!BL10)</f>
        <v/>
      </c>
    </row>
    <row r="46" spans="5:10" ht="21.95">
      <c r="E46" s="349">
        <f>IF('1-Investissements'!A11="","", '1-Investissements'!A11)</f>
        <v>3</v>
      </c>
      <c r="F46" s="350" t="str">
        <f>IF('1-Investissements'!AF11="","", '1-Investissements'!AF11)</f>
        <v/>
      </c>
      <c r="G46" s="350" t="str">
        <f>IF('1-Investissements'!AI11="","", '1-Investissements'!AI11)</f>
        <v/>
      </c>
      <c r="H46" s="392" t="str">
        <f>IF('1-Investissements'!AH11="","", '1-Investissements'!AH11)</f>
        <v/>
      </c>
      <c r="I46" s="356" t="str">
        <f>IF(F46="","",IF(VLOOKUP(F46,'1-Investissements'!B11:C110,2,TRUE)="Oui","Il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6" s="393" t="str">
        <f>IF('1-Investissements'!BL11="","", '1-Investissements'!BL11)</f>
        <v/>
      </c>
    </row>
    <row r="47" spans="5:10" ht="21.95">
      <c r="E47" s="349">
        <f>IF('1-Investissements'!A12="","", '1-Investissements'!A12)</f>
        <v>4</v>
      </c>
      <c r="F47" s="350" t="str">
        <f>IF('1-Investissements'!AF12="","", '1-Investissements'!AF12)</f>
        <v/>
      </c>
      <c r="G47" s="350" t="str">
        <f>IF('1-Investissements'!AI12="","", '1-Investissements'!AI12)</f>
        <v/>
      </c>
      <c r="H47" s="392" t="str">
        <f>IF('1-Investissements'!AH12="","", '1-Investissements'!AH12)</f>
        <v/>
      </c>
      <c r="I47" s="356" t="str">
        <f>IF(F47="","",IF(VLOOKUP(F47,'1-Investissements'!B12:C111,2,TRUE)="Oui","Il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7" s="393" t="str">
        <f>IF('1-Investissements'!BL12="","", '1-Investissements'!BL12)</f>
        <v/>
      </c>
    </row>
    <row r="48" spans="5:10" ht="23.1" thickBot="1">
      <c r="E48" s="352">
        <f>IF('1-Investissements'!A13="","", '1-Investissements'!A13)</f>
        <v>5</v>
      </c>
      <c r="F48" s="353" t="str">
        <f>IF('1-Investissements'!AF13="","", '1-Investissements'!AF13)</f>
        <v/>
      </c>
      <c r="G48" s="353" t="str">
        <f>IF('1-Investissements'!AI13="","", '1-Investissements'!AI13)</f>
        <v/>
      </c>
      <c r="H48" s="354" t="str">
        <f>IF('1-Investissements'!AH13="","", '1-Investissements'!AH13)</f>
        <v/>
      </c>
      <c r="I48" s="395" t="str">
        <f>IF(F48="","",IF(VLOOKUP(F48,'1-Investissements'!B13:C112,2,TRUE)="Oui","Il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8" s="362" t="str">
        <f>IF('1-Investissements'!BL13="","", '1-Investissements'!BL13)</f>
        <v/>
      </c>
    </row>
    <row r="49" spans="5:10" ht="24" customHeight="1" thickBot="1">
      <c r="E49" s="1184" t="s">
        <v>270</v>
      </c>
      <c r="F49" s="1185"/>
      <c r="G49" s="1185"/>
      <c r="H49" s="1185"/>
      <c r="I49" s="1185"/>
      <c r="J49" s="1186"/>
    </row>
    <row r="50" spans="5:10" ht="21.95">
      <c r="E50" s="346">
        <f>IF('2-Frais généraux'!A5="","",'2-Frais généraux'!A5)</f>
        <v>1</v>
      </c>
      <c r="F50" s="347" t="str">
        <f>IF('2-Frais généraux'!AD5="","",'2-Frais généraux'!AD5)</f>
        <v/>
      </c>
      <c r="G50" s="347" t="str">
        <f>IF('2-Frais généraux'!AF5="","",'2-Frais généraux'!AF5)</f>
        <v/>
      </c>
      <c r="H50" s="348" t="str">
        <f>IF('2-Frais généraux'!AE5="","",'2-Frais généraux'!AE5)</f>
        <v/>
      </c>
      <c r="I50" s="1147" t="s">
        <v>450</v>
      </c>
      <c r="J50" s="360" t="str">
        <f>IF('2-Frais généraux'!BH5="","",'2-Frais généraux'!BH5)</f>
        <v/>
      </c>
    </row>
    <row r="51" spans="5:10" ht="21.95">
      <c r="E51" s="349">
        <f>IF('2-Frais généraux'!A6="","",'2-Frais généraux'!A6)</f>
        <v>2</v>
      </c>
      <c r="F51" s="350" t="str">
        <f>IF('2-Frais généraux'!AD6="","",'2-Frais généraux'!AD6)</f>
        <v/>
      </c>
      <c r="G51" s="350" t="str">
        <f>IF('2-Frais généraux'!AF6="","",'2-Frais généraux'!AF6)</f>
        <v/>
      </c>
      <c r="H51" s="351" t="str">
        <f>IF('2-Frais généraux'!AE6="","",'2-Frais généraux'!AE6)</f>
        <v/>
      </c>
      <c r="I51" s="1148"/>
      <c r="J51" s="361" t="str">
        <f>IF('2-Frais généraux'!BH6="","",'2-Frais généraux'!BH6)</f>
        <v/>
      </c>
    </row>
    <row r="52" spans="5:10" ht="21.95">
      <c r="E52" s="349">
        <f>IF('2-Frais généraux'!A7="","",'2-Frais généraux'!A7)</f>
        <v>3</v>
      </c>
      <c r="F52" s="350" t="str">
        <f>IF('2-Frais généraux'!AD7="","",'2-Frais généraux'!AD7)</f>
        <v/>
      </c>
      <c r="G52" s="350" t="str">
        <f>IF('2-Frais généraux'!AF7="","",'2-Frais généraux'!AF7)</f>
        <v/>
      </c>
      <c r="H52" s="351" t="str">
        <f>IF('2-Frais généraux'!AE7="","",'2-Frais généraux'!AE7)</f>
        <v/>
      </c>
      <c r="I52" s="1148"/>
      <c r="J52" s="361" t="str">
        <f>IF('2-Frais généraux'!BH7="","",'2-Frais généraux'!BH7)</f>
        <v/>
      </c>
    </row>
    <row r="53" spans="5:10" ht="21.95">
      <c r="E53" s="349">
        <f>IF('2-Frais généraux'!A8="","",'2-Frais généraux'!A8)</f>
        <v>4</v>
      </c>
      <c r="F53" s="350" t="str">
        <f>IF('2-Frais généraux'!AD8="","",'2-Frais généraux'!AD8)</f>
        <v/>
      </c>
      <c r="G53" s="350" t="str">
        <f>IF('2-Frais généraux'!AF8="","",'2-Frais généraux'!AF8)</f>
        <v/>
      </c>
      <c r="H53" s="351" t="str">
        <f>IF('2-Frais généraux'!AE8="","",'2-Frais généraux'!AE8)</f>
        <v/>
      </c>
      <c r="I53" s="1148"/>
      <c r="J53" s="361" t="str">
        <f>IF('2-Frais généraux'!BH8="","",'2-Frais généraux'!BH8)</f>
        <v/>
      </c>
    </row>
    <row r="54" spans="5:10" ht="23.1" thickBot="1">
      <c r="E54" s="352">
        <f>IF('2-Frais généraux'!A9="","",'2-Frais généraux'!A9)</f>
        <v>5</v>
      </c>
      <c r="F54" s="353" t="str">
        <f>IF('2-Frais généraux'!AD9="","",'2-Frais généraux'!AD9)</f>
        <v/>
      </c>
      <c r="G54" s="353" t="str">
        <f>IF('2-Frais généraux'!AF9="","",'2-Frais généraux'!AF9)</f>
        <v/>
      </c>
      <c r="H54" s="354" t="str">
        <f>IF('2-Frais généraux'!AE9="","",'2-Frais généraux'!AE9)</f>
        <v/>
      </c>
      <c r="I54" s="1149"/>
      <c r="J54" s="362" t="str">
        <f>IF('2-Frais généraux'!BH9="","",'2-Frais généraux'!BH9)</f>
        <v/>
      </c>
    </row>
    <row r="55" spans="5:10" ht="24" customHeight="1" thickBot="1">
      <c r="E55" s="1184" t="s">
        <v>432</v>
      </c>
      <c r="F55" s="1185"/>
      <c r="G55" s="1185"/>
      <c r="H55" s="1185"/>
      <c r="I55" s="1185"/>
      <c r="J55" s="1186"/>
    </row>
    <row r="56" spans="5:10" ht="21.95">
      <c r="E56" s="346">
        <f>IF('3-Contributions en nature'!A5="","",'3-Contributions en nature'!A5)</f>
        <v>1</v>
      </c>
      <c r="F56" s="347" t="str">
        <f>IF('3-Contributions en nature'!K5="","",'3-Contributions en nature'!K5)</f>
        <v/>
      </c>
      <c r="G56" s="347" t="str">
        <f>IF('3-Contributions en nature'!L5="","",'3-Contributions en nature'!L5)</f>
        <v/>
      </c>
      <c r="H56" s="348" t="str">
        <f>IF('3-Contributions en nature'!N5="","",'3-Contributions en nature'!N5)</f>
        <v/>
      </c>
      <c r="I56" s="1147" t="s">
        <v>450</v>
      </c>
      <c r="J56" s="360" t="str">
        <f>IF('3-Contributions en nature'!S5="","",'3-Contributions en nature'!S5)</f>
        <v/>
      </c>
    </row>
    <row r="57" spans="5:10" ht="21.95">
      <c r="E57" s="349">
        <f>IF('3-Contributions en nature'!A6="","",'3-Contributions en nature'!A6)</f>
        <v>2</v>
      </c>
      <c r="F57" s="350" t="str">
        <f>IF('3-Contributions en nature'!K6="","",'3-Contributions en nature'!K6)</f>
        <v/>
      </c>
      <c r="G57" s="350" t="str">
        <f>IF('3-Contributions en nature'!L6="","",'3-Contributions en nature'!L6)</f>
        <v/>
      </c>
      <c r="H57" s="351" t="str">
        <f>IF('3-Contributions en nature'!N6="","",'3-Contributions en nature'!N6)</f>
        <v/>
      </c>
      <c r="I57" s="1148"/>
      <c r="J57" s="361" t="str">
        <f>IF('3-Contributions en nature'!S6="","",'3-Contributions en nature'!S6)</f>
        <v/>
      </c>
    </row>
    <row r="58" spans="5:10" ht="21.95">
      <c r="E58" s="349">
        <f>IF('3-Contributions en nature'!A7="","",'3-Contributions en nature'!A7)</f>
        <v>3</v>
      </c>
      <c r="F58" s="350" t="str">
        <f>IF('3-Contributions en nature'!K7="","",'3-Contributions en nature'!K7)</f>
        <v/>
      </c>
      <c r="G58" s="350" t="str">
        <f>IF('3-Contributions en nature'!L7="","",'3-Contributions en nature'!L7)</f>
        <v/>
      </c>
      <c r="H58" s="351" t="str">
        <f>IF('3-Contributions en nature'!N7="","",'3-Contributions en nature'!N7)</f>
        <v/>
      </c>
      <c r="I58" s="1148"/>
      <c r="J58" s="361" t="str">
        <f>IF('3-Contributions en nature'!S7="","",'3-Contributions en nature'!S7)</f>
        <v/>
      </c>
    </row>
    <row r="59" spans="5:10" ht="21.95">
      <c r="E59" s="349">
        <f>IF('3-Contributions en nature'!A8="","",'3-Contributions en nature'!A8)</f>
        <v>4</v>
      </c>
      <c r="F59" s="350" t="str">
        <f>IF('3-Contributions en nature'!K8="","",'3-Contributions en nature'!K8)</f>
        <v/>
      </c>
      <c r="G59" s="350" t="str">
        <f>IF('3-Contributions en nature'!L8="","",'3-Contributions en nature'!L8)</f>
        <v/>
      </c>
      <c r="H59" s="351" t="str">
        <f>IF('3-Contributions en nature'!N8="","",'3-Contributions en nature'!N8)</f>
        <v/>
      </c>
      <c r="I59" s="1148"/>
      <c r="J59" s="361" t="str">
        <f>IF('3-Contributions en nature'!S8="","",'3-Contributions en nature'!S8)</f>
        <v/>
      </c>
    </row>
    <row r="60" spans="5:10" ht="23.1" thickBot="1">
      <c r="E60" s="352">
        <f>IF('3-Contributions en nature'!A9="","",'3-Contributions en nature'!A9)</f>
        <v>5</v>
      </c>
      <c r="F60" s="353" t="str">
        <f>IF('3-Contributions en nature'!K9="","",'3-Contributions en nature'!K9)</f>
        <v/>
      </c>
      <c r="G60" s="353" t="str">
        <f>IF('3-Contributions en nature'!L9="","",'3-Contributions en nature'!L9)</f>
        <v/>
      </c>
      <c r="H60" s="354" t="str">
        <f>IF('3-Contributions en nature'!N9="","",'3-Contributions en nature'!N9)</f>
        <v/>
      </c>
      <c r="I60" s="1149"/>
      <c r="J60" s="362" t="str">
        <f>IF('3-Contributions en nature'!S9="","",'3-Contributions en nature'!S9)</f>
        <v/>
      </c>
    </row>
    <row r="61" spans="5:10" ht="24" customHeight="1" thickBot="1">
      <c r="E61" s="1138" t="s">
        <v>272</v>
      </c>
      <c r="F61" s="1139"/>
      <c r="G61" s="1139"/>
      <c r="H61" s="1139"/>
      <c r="I61" s="1139"/>
      <c r="J61" s="1140"/>
    </row>
    <row r="62" spans="5:10" ht="21.95">
      <c r="E62" s="366">
        <f>IF('4-Amortissement'!A5="","",'4-Amortissement'!A5)</f>
        <v>1</v>
      </c>
      <c r="F62" s="367" t="str">
        <f>IF('4-Amortissement'!R5="","",'4-Amortissement'!R5)</f>
        <v/>
      </c>
      <c r="G62" s="367" t="str">
        <f>IF('4-Amortissement'!S5="","",'4-Amortissement'!S5)</f>
        <v/>
      </c>
      <c r="H62" s="367" t="str">
        <f>IF('4-Amortissement'!W5="","",'4-Amortissement'!W5)</f>
        <v/>
      </c>
      <c r="I62" s="1147" t="s">
        <v>450</v>
      </c>
      <c r="J62" s="368" t="str">
        <f>IF('4-Amortissement'!AG5="","",'4-Amortissement'!AG5)</f>
        <v/>
      </c>
    </row>
    <row r="63" spans="5:10" ht="21.95">
      <c r="E63" s="355">
        <f>IF('4-Amortissement'!A6="","",'4-Amortissement'!A6)</f>
        <v>2</v>
      </c>
      <c r="F63" s="356" t="str">
        <f>IF('4-Amortissement'!R6="","",'4-Amortissement'!R6)</f>
        <v/>
      </c>
      <c r="G63" s="356" t="str">
        <f>IF('4-Amortissement'!S6="","",'4-Amortissement'!S6)</f>
        <v/>
      </c>
      <c r="H63" s="356" t="str">
        <f>IF('4-Amortissement'!W6="","",'4-Amortissement'!W6)</f>
        <v/>
      </c>
      <c r="I63" s="1148"/>
      <c r="J63" s="363" t="str">
        <f>IF('4-Amortissement'!AG6="","",'4-Amortissement'!AG6)</f>
        <v/>
      </c>
    </row>
    <row r="64" spans="5:10" ht="21.95">
      <c r="E64" s="355">
        <f>IF('4-Amortissement'!A7="","",'4-Amortissement'!A7)</f>
        <v>3</v>
      </c>
      <c r="F64" s="356" t="str">
        <f>IF('4-Amortissement'!R7="","",'4-Amortissement'!R7)</f>
        <v/>
      </c>
      <c r="G64" s="356" t="str">
        <f>IF('4-Amortissement'!S7="","",'4-Amortissement'!S7)</f>
        <v/>
      </c>
      <c r="H64" s="356" t="str">
        <f>IF('4-Amortissement'!W7="","",'4-Amortissement'!W7)</f>
        <v/>
      </c>
      <c r="I64" s="1148"/>
      <c r="J64" s="363" t="str">
        <f>IF('4-Amortissement'!AG7="","",'4-Amortissement'!AG7)</f>
        <v/>
      </c>
    </row>
    <row r="65" spans="5:10" ht="21.95">
      <c r="E65" s="355">
        <f>IF('4-Amortissement'!A8="","",'4-Amortissement'!A8)</f>
        <v>4</v>
      </c>
      <c r="F65" s="356" t="str">
        <f>IF('4-Amortissement'!R8="","",'4-Amortissement'!R8)</f>
        <v/>
      </c>
      <c r="G65" s="356" t="str">
        <f>IF('4-Amortissement'!S8="","",'4-Amortissement'!S8)</f>
        <v/>
      </c>
      <c r="H65" s="356" t="str">
        <f>IF('4-Amortissement'!W8="","",'4-Amortissement'!W8)</f>
        <v/>
      </c>
      <c r="I65" s="1148"/>
      <c r="J65" s="363" t="str">
        <f>IF('4-Amortissement'!AG8="","",'4-Amortissement'!AG8)</f>
        <v/>
      </c>
    </row>
    <row r="66" spans="5:10" ht="23.1" thickBot="1">
      <c r="E66" s="369">
        <f>IF('4-Amortissement'!A9="","",'4-Amortissement'!A9)</f>
        <v>5</v>
      </c>
      <c r="F66" s="370" t="str">
        <f>IF('4-Amortissement'!R9="","",'4-Amortissement'!R9)</f>
        <v/>
      </c>
      <c r="G66" s="370" t="str">
        <f>IF('4-Amortissement'!S9="","",'4-Amortissement'!S9)</f>
        <v/>
      </c>
      <c r="H66" s="370" t="str">
        <f>IF('4-Amortissement'!W9="","",'4-Amortissement'!W9)</f>
        <v/>
      </c>
      <c r="I66" s="1149"/>
      <c r="J66" s="371" t="str">
        <f>IF('4-Amortissement'!AG9="","",'4-Amortissement'!AG9)</f>
        <v/>
      </c>
    </row>
    <row r="67" spans="5:10" ht="24" customHeight="1" thickBot="1">
      <c r="E67" s="1138" t="s">
        <v>435</v>
      </c>
      <c r="F67" s="1139"/>
      <c r="G67" s="1139"/>
      <c r="H67" s="1139"/>
      <c r="I67" s="1139"/>
      <c r="J67" s="1140"/>
    </row>
    <row r="68" spans="5:10" ht="18.95" customHeight="1">
      <c r="E68" s="372">
        <f>IF('5-Tx forf personnel+autoconst'!A6="","",'5-Tx forf personnel+autoconst'!A6)</f>
        <v>1</v>
      </c>
      <c r="F68" s="1136" t="str">
        <f>IF('5-Tx forf personnel+autoconst'!H6="","",'5-Tx forf personnel+autoconst'!H6)</f>
        <v>Modernisation installations / mécanisation</v>
      </c>
      <c r="G68" s="1136"/>
      <c r="H68" s="1157" t="s">
        <v>450</v>
      </c>
      <c r="I68" s="1158"/>
      <c r="J68" s="374" t="str">
        <f>IF('5-Tx forf personnel+autoconst'!L6="","",'5-Tx forf personnel+autoconst'!L6)</f>
        <v/>
      </c>
    </row>
    <row r="69" spans="5:10" ht="21.95">
      <c r="E69" s="357">
        <f>IF('5-Tx forf personnel+autoconst'!A7="","",'5-Tx forf personnel+autoconst'!A7)</f>
        <v>2</v>
      </c>
      <c r="F69" s="1137" t="str">
        <f>IF('5-Tx forf personnel+autoconst'!H7="","",'5-Tx forf personnel+autoconst'!H7)</f>
        <v>Construction / aménagement bâtiments</v>
      </c>
      <c r="G69" s="1137"/>
      <c r="H69" s="1159"/>
      <c r="I69" s="1160"/>
      <c r="J69" s="364" t="str">
        <f>IF('5-Tx forf personnel+autoconst'!L7="","",'5-Tx forf personnel+autoconst'!L7)</f>
        <v/>
      </c>
    </row>
    <row r="70" spans="5:10" ht="21.95">
      <c r="E70" s="357">
        <f>IF('5-Tx forf personnel+autoconst'!A8="","",'5-Tx forf personnel+autoconst'!A8)</f>
        <v>3</v>
      </c>
      <c r="F70" s="1141" t="str">
        <f>IF('5-Tx forf personnel+autoconst'!H8="","",'5-Tx forf personnel+autoconst'!H8)</f>
        <v>Plantations pérennes</v>
      </c>
      <c r="G70" s="1141"/>
      <c r="H70" s="1159"/>
      <c r="I70" s="1160"/>
      <c r="J70" s="364" t="str">
        <f>IF('5-Tx forf personnel+autoconst'!L8="","",'5-Tx forf personnel+autoconst'!L8)</f>
        <v/>
      </c>
    </row>
    <row r="71" spans="5:10" ht="21.95" customHeight="1">
      <c r="E71" s="357">
        <f>IF('5-Tx forf personnel+autoconst'!A9="","",'5-Tx forf personnel+autoconst'!A9)</f>
        <v>4</v>
      </c>
      <c r="F71" s="1141" t="str">
        <f>IF('5-Tx forf personnel+autoconst'!H9="","",'5-Tx forf personnel+autoconst'!H9)</f>
        <v>Irrigation</v>
      </c>
      <c r="G71" s="1141"/>
      <c r="H71" s="1159"/>
      <c r="I71" s="1160"/>
      <c r="J71" s="364" t="str">
        <f>IF('5-Tx forf personnel+autoconst'!L9="","",'5-Tx forf personnel+autoconst'!L9)</f>
        <v/>
      </c>
    </row>
    <row r="72" spans="5:10" ht="21.95" customHeight="1">
      <c r="E72" s="357">
        <f>IF('5-Tx forf personnel+autoconst'!A10="","",'5-Tx forf personnel+autoconst'!A10)</f>
        <v>5</v>
      </c>
      <c r="F72" s="1141" t="str">
        <f>IF('5-Tx forf personnel+autoconst'!H10="","",'5-Tx forf personnel+autoconst'!H10)</f>
        <v>Performance énergétique</v>
      </c>
      <c r="G72" s="1141"/>
      <c r="H72" s="1159"/>
      <c r="I72" s="1160"/>
      <c r="J72" s="364" t="str">
        <f>IF('5-Tx forf personnel+autoconst'!L10="","",'5-Tx forf personnel+autoconst'!L10)</f>
        <v/>
      </c>
    </row>
    <row r="73" spans="5:10" ht="21.95">
      <c r="E73" s="357">
        <f>IF('5-Tx forf personnel+autoconst'!A11="","",'5-Tx forf personnel+autoconst'!A11)</f>
        <v>6</v>
      </c>
      <c r="F73" s="1141" t="str">
        <f>IF('5-Tx forf personnel+autoconst'!H11="","",'5-Tx forf personnel+autoconst'!H11)</f>
        <v>Transformation / Commercialisation</v>
      </c>
      <c r="G73" s="1141"/>
      <c r="H73" s="1159"/>
      <c r="I73" s="1160"/>
      <c r="J73" s="364" t="str">
        <f>IF('5-Tx forf personnel+autoconst'!L11="","",'5-Tx forf personnel+autoconst'!L11)</f>
        <v/>
      </c>
    </row>
    <row r="74" spans="5:10" ht="21.95" customHeight="1">
      <c r="E74" s="357">
        <f>IF('5-Tx forf personnel+autoconst'!A12="","",'5-Tx forf personnel+autoconst'!A12)</f>
        <v>7</v>
      </c>
      <c r="F74" s="1141" t="str">
        <f>IF('5-Tx forf personnel+autoconst'!H12="","",'5-Tx forf personnel+autoconst'!H12)</f>
        <v>Amélioration foncière</v>
      </c>
      <c r="G74" s="1141"/>
      <c r="H74" s="1159"/>
      <c r="I74" s="1160"/>
      <c r="J74" s="364" t="str">
        <f>IF('5-Tx forf personnel+autoconst'!L12="","",'5-Tx forf personnel+autoconst'!L12)</f>
        <v/>
      </c>
    </row>
    <row r="75" spans="5:10" ht="21.95">
      <c r="E75" s="357">
        <f>IF('5-Tx forf personnel+autoconst'!A13="","",'5-Tx forf personnel+autoconst'!A13)</f>
        <v>8</v>
      </c>
      <c r="F75" s="1141" t="str">
        <f>IF('5-Tx forf personnel+autoconst'!H13="","",'5-Tx forf personnel+autoconst'!H13)</f>
        <v>Diversification des activités - gîtes</v>
      </c>
      <c r="G75" s="1141"/>
      <c r="H75" s="1159"/>
      <c r="I75" s="1160"/>
      <c r="J75" s="364" t="str">
        <f>IF('5-Tx forf personnel+autoconst'!L13="","",'5-Tx forf personnel+autoconst'!L13)</f>
        <v/>
      </c>
    </row>
    <row r="76" spans="5:10" ht="23.1" thickBot="1">
      <c r="E76" s="375">
        <f>IF('5-Tx forf personnel+autoconst'!A14="","",'5-Tx forf personnel+autoconst'!A14)</f>
        <v>9</v>
      </c>
      <c r="F76" s="1142" t="str">
        <f>IF('5-Tx forf personnel+autoconst'!H14="","",'5-Tx forf personnel+autoconst'!H14)</f>
        <v>Diversification des activités - hors gîtes</v>
      </c>
      <c r="G76" s="1142"/>
      <c r="H76" s="1161"/>
      <c r="I76" s="1162"/>
      <c r="J76" s="377" t="str">
        <f>IF('5-Tx forf personnel+autoconst'!L14="","",'5-Tx forf personnel+autoconst'!L14)</f>
        <v/>
      </c>
    </row>
    <row r="77" spans="5:10" ht="24.95" thickBot="1">
      <c r="E77" s="1138" t="s">
        <v>276</v>
      </c>
      <c r="F77" s="1139"/>
      <c r="G77" s="1139"/>
      <c r="H77" s="1139"/>
      <c r="I77" s="1139"/>
      <c r="J77" s="1140"/>
    </row>
    <row r="78" spans="5:10" ht="23.1" thickBot="1">
      <c r="E78" s="372">
        <f>IF('6-Coût unitaire bananes'!A5="","",'6-Coût unitaire bananes'!A5)</f>
        <v>1</v>
      </c>
      <c r="F78" s="1136" t="str">
        <f>IF('6-Coût unitaire bananes'!G5="","",'6-Coût unitaire bananes'!G5)</f>
        <v/>
      </c>
      <c r="G78" s="1136"/>
      <c r="H78" s="1164" t="s">
        <v>450</v>
      </c>
      <c r="I78" s="373" t="str">
        <f>IF(F78="","","La surface est de "&amp;'6-Coût unitaire bananes'!H5&amp;" ha."&amp;IF('6-Coût unitaire bananes'!J5="oui",
"Présence d'un amendement organique.","
Absence d'un amendement organique."))</f>
        <v/>
      </c>
      <c r="J78" s="378" t="str">
        <f>IF('6-Coût unitaire bananes'!J5="","",'6-Coût unitaire bananes'!J5)</f>
        <v/>
      </c>
    </row>
    <row r="79" spans="5:10" ht="23.1" thickBot="1">
      <c r="E79" s="357">
        <f>IF('6-Coût unitaire bananes'!A6="","",'6-Coût unitaire bananes'!A6)</f>
        <v>2</v>
      </c>
      <c r="F79" s="1137" t="str">
        <f>IF('6-Coût unitaire bananes'!G6="","",'6-Coût unitaire bananes'!G6)</f>
        <v/>
      </c>
      <c r="G79" s="1137"/>
      <c r="H79" s="1164"/>
      <c r="I79" s="358" t="str">
        <f>IF(F79="","","La surface est de "&amp;'6-Coût unitaire bananes'!H6&amp;" ha."&amp;IF('6-Coût unitaire bananes'!J6="oui",
"Présence d'un amendement organique.","
Absence d'un amendement organique."))</f>
        <v/>
      </c>
      <c r="J79" s="365" t="str">
        <f>IF('6-Coût unitaire bananes'!J6="","",'6-Coût unitaire bananes'!J6)</f>
        <v/>
      </c>
    </row>
    <row r="80" spans="5:10" ht="23.1" thickBot="1">
      <c r="E80" s="357">
        <f>IF('6-Coût unitaire bananes'!A7="","",'6-Coût unitaire bananes'!A7)</f>
        <v>3</v>
      </c>
      <c r="F80" s="1137" t="str">
        <f>IF('6-Coût unitaire bananes'!G7="","",'6-Coût unitaire bananes'!G7)</f>
        <v/>
      </c>
      <c r="G80" s="1137"/>
      <c r="H80" s="1164"/>
      <c r="I80" s="358" t="str">
        <f>IF(F80="","","La surface est de "&amp;'6-Coût unitaire bananes'!H7&amp;" ha."&amp;IF('6-Coût unitaire bananes'!J7="oui",
"Présence d'un amendement organique.","
Absence d'un amendement organique."))</f>
        <v/>
      </c>
      <c r="J80" s="365" t="str">
        <f>IF('6-Coût unitaire bananes'!J7="","",'6-Coût unitaire bananes'!J7)</f>
        <v/>
      </c>
    </row>
    <row r="81" spans="5:19" ht="23.1" thickBot="1">
      <c r="E81" s="357">
        <f>IF('6-Coût unitaire bananes'!A8="","",'6-Coût unitaire bananes'!A8)</f>
        <v>4</v>
      </c>
      <c r="F81" s="1137" t="str">
        <f>IF('6-Coût unitaire bananes'!G8="","",'6-Coût unitaire bananes'!G8)</f>
        <v/>
      </c>
      <c r="G81" s="1137"/>
      <c r="H81" s="1164"/>
      <c r="I81" s="358" t="str">
        <f>IF(F81="","","La surface est de "&amp;'6-Coût unitaire bananes'!H8&amp;" ha."&amp;IF('6-Coût unitaire bananes'!J8="oui",
"Présence d'un amendement organique.","
Absence d'un amendement organique."))</f>
        <v/>
      </c>
      <c r="J81" s="365" t="str">
        <f>IF('6-Coût unitaire bananes'!J8="","",'6-Coût unitaire bananes'!J8)</f>
        <v/>
      </c>
    </row>
    <row r="82" spans="5:19" ht="23.1" thickBot="1">
      <c r="E82" s="375">
        <f>IF('6-Coût unitaire bananes'!A9="","",'6-Coût unitaire bananes'!A9)</f>
        <v>5</v>
      </c>
      <c r="F82" s="1194" t="str">
        <f>IF('6-Coût unitaire bananes'!G9="","",'6-Coût unitaire bananes'!G9)</f>
        <v/>
      </c>
      <c r="G82" s="1194"/>
      <c r="H82" s="1164"/>
      <c r="I82" s="376" t="str">
        <f>IF(F82="","","La surface est de "&amp;'6-Coût unitaire bananes'!H9&amp;" ha."&amp;IF('6-Coût unitaire bananes'!J9="oui",
"Présence d'un amendement organique.","
Absence d'un amendement organique."))</f>
        <v/>
      </c>
      <c r="J82" s="379" t="str">
        <f>IF('6-Coût unitaire bananes'!J9="","",'6-Coût unitaire bananes'!J9)</f>
        <v/>
      </c>
    </row>
    <row r="83" spans="5:19" ht="24" customHeight="1" thickBot="1">
      <c r="E83" s="1138" t="s">
        <v>277</v>
      </c>
      <c r="F83" s="1139"/>
      <c r="G83" s="1139"/>
      <c r="H83" s="1139"/>
      <c r="I83" s="1139"/>
      <c r="J83" s="1140"/>
    </row>
    <row r="84" spans="5:19" ht="23.1" thickBot="1">
      <c r="E84" s="381">
        <f>IF('7-Coût unitaire cannes à sucre'!A5="","",'7-Coût unitaire cannes à sucre'!A5)</f>
        <v>1</v>
      </c>
      <c r="F84" s="1156" t="str">
        <f>IF('7-Coût unitaire cannes à sucre'!H5="","",'7-Coût unitaire cannes à sucre'!H5)</f>
        <v/>
      </c>
      <c r="G84" s="1156"/>
      <c r="H84" s="1163" t="s">
        <v>450</v>
      </c>
      <c r="I84" s="373" t="str">
        <f>IF(F84="","","La surface est de "&amp;'7-Coût unitaire cannes à sucre'!I5&amp;" ha."&amp;IF('6-Coût unitaire bananes'!J5="oui",
"Plantation à Marie-Galante.","
Pas de plantation à marie-Galante.")&amp;IF('7-Coût unitaire cannes à sucre'!K5="Simple","
Simple rang.","
Double rang."))</f>
        <v/>
      </c>
      <c r="J84" s="383" t="str">
        <f>IF('7-Coût unitaire cannes à sucre'!L5="","",'7-Coût unitaire cannes à sucre'!L5)</f>
        <v/>
      </c>
    </row>
    <row r="85" spans="5:19" ht="23.1" thickBot="1">
      <c r="E85" s="359">
        <f>IF('7-Coût unitaire cannes à sucre'!A6="","",'7-Coût unitaire cannes à sucre'!A6)</f>
        <v>2</v>
      </c>
      <c r="F85" s="1195" t="str">
        <f>IF('7-Coût unitaire cannes à sucre'!H6="","",'7-Coût unitaire cannes à sucre'!H6)</f>
        <v/>
      </c>
      <c r="G85" s="1195"/>
      <c r="H85" s="1163"/>
      <c r="I85" s="358" t="str">
        <f>IF(F85="","","La surface est de "&amp;'7-Coût unitaire cannes à sucre'!I6&amp;" ha."&amp;IF('6-Coût unitaire bananes'!J6="oui",
"Plantation à Marie-Galante.","
Pas de plantation à marie-Galante.")&amp;IF('7-Coût unitaire cannes à sucre'!K6="Simple","
Simple rang.","
Double rang."))</f>
        <v/>
      </c>
      <c r="J85" s="384" t="str">
        <f>IF('7-Coût unitaire cannes à sucre'!L6="","",'7-Coût unitaire cannes à sucre'!L6)</f>
        <v/>
      </c>
    </row>
    <row r="86" spans="5:19" ht="23.1" thickBot="1">
      <c r="E86" s="359">
        <f>IF('7-Coût unitaire cannes à sucre'!A7="","",'7-Coût unitaire cannes à sucre'!A7)</f>
        <v>3</v>
      </c>
      <c r="F86" s="1195" t="str">
        <f>IF('7-Coût unitaire cannes à sucre'!H7="","",'7-Coût unitaire cannes à sucre'!H7)</f>
        <v/>
      </c>
      <c r="G86" s="1195"/>
      <c r="H86" s="1163"/>
      <c r="I86" s="358" t="str">
        <f>IF(F86="","","La surface est de "&amp;'7-Coût unitaire cannes à sucre'!I7&amp;" ha."&amp;IF('6-Coût unitaire bananes'!J7="oui",
"Plantation à Marie-Galante.","
Pas de plantation à marie-Galante.")&amp;IF('7-Coût unitaire cannes à sucre'!K7="Simple","
Simple rang.","
Double rang."))</f>
        <v/>
      </c>
      <c r="J86" s="384" t="str">
        <f>IF('7-Coût unitaire cannes à sucre'!L7="","",'7-Coût unitaire cannes à sucre'!L7)</f>
        <v/>
      </c>
    </row>
    <row r="87" spans="5:19" ht="23.1" thickBot="1">
      <c r="E87" s="359">
        <f>IF('7-Coût unitaire cannes à sucre'!A8="","",'7-Coût unitaire cannes à sucre'!A8)</f>
        <v>4</v>
      </c>
      <c r="F87" s="1195" t="str">
        <f>IF('7-Coût unitaire cannes à sucre'!H8="","",'7-Coût unitaire cannes à sucre'!H8)</f>
        <v/>
      </c>
      <c r="G87" s="1195"/>
      <c r="H87" s="1163"/>
      <c r="I87" s="358" t="str">
        <f>IF(F87="","","La surface est de "&amp;'7-Coût unitaire cannes à sucre'!I8&amp;" ha."&amp;IF('6-Coût unitaire bananes'!J8="oui",
"Plantation à Marie-Galante.","
Pas de plantation à marie-Galante.")&amp;IF('7-Coût unitaire cannes à sucre'!K8="Simple","
Simple rang.","
Double rang."))</f>
        <v/>
      </c>
      <c r="J87" s="384" t="str">
        <f>IF('7-Coût unitaire cannes à sucre'!L8="","",'7-Coût unitaire cannes à sucre'!L8)</f>
        <v/>
      </c>
    </row>
    <row r="88" spans="5:19" ht="23.1" thickBot="1">
      <c r="E88" s="382">
        <f>IF('7-Coût unitaire cannes à sucre'!A9="","",'7-Coût unitaire cannes à sucre'!A9)</f>
        <v>5</v>
      </c>
      <c r="F88" s="1135" t="str">
        <f>IF('7-Coût unitaire cannes à sucre'!H9="","",'7-Coût unitaire cannes à sucre'!H9)</f>
        <v/>
      </c>
      <c r="G88" s="1135"/>
      <c r="H88" s="1163"/>
      <c r="I88" s="376" t="str">
        <f>IF(F88="","","La surface est de "&amp;'7-Coût unitaire cannes à sucre'!I9&amp;" ha."&amp;IF('6-Coût unitaire bananes'!J9="oui",
"Plantation à Marie-Galante.","
Pas de plantation à marie-Galante.")&amp;IF('7-Coût unitaire cannes à sucre'!K9="Simple","
Simple rang.","
Double rang."))</f>
        <v/>
      </c>
      <c r="J88" s="385" t="str">
        <f>IF('7-Coût unitaire cannes à sucre'!L9="","",'7-Coût unitaire cannes à sucre'!L9)</f>
        <v/>
      </c>
    </row>
    <row r="89" spans="5:19" ht="21.95" customHeight="1" thickBot="1">
      <c r="E89" s="1150" t="s">
        <v>451</v>
      </c>
      <c r="F89" s="1151"/>
      <c r="G89" s="1151"/>
      <c r="H89" s="1151"/>
      <c r="I89" s="1152"/>
      <c r="J89" s="380">
        <f>SUM(J44:J88)</f>
        <v>0</v>
      </c>
    </row>
    <row r="93" spans="5:19" ht="29.1">
      <c r="E93" s="1146"/>
      <c r="F93" s="1146"/>
      <c r="G93" s="1146"/>
      <c r="H93" s="1146"/>
      <c r="I93" s="1146"/>
      <c r="J93" s="1146"/>
      <c r="K93" s="1146"/>
      <c r="L93" s="323"/>
      <c r="M93" s="323"/>
      <c r="N93" s="323"/>
      <c r="O93" s="323"/>
      <c r="P93" s="323"/>
      <c r="Q93" s="323"/>
      <c r="R93" s="323"/>
      <c r="S93" s="323"/>
    </row>
    <row r="94" spans="5:19" ht="29.1">
      <c r="E94" s="1143"/>
      <c r="F94" s="1143"/>
      <c r="G94" s="1143"/>
      <c r="H94" s="1143"/>
      <c r="I94" s="1143"/>
      <c r="J94" s="1143"/>
      <c r="K94" s="1143"/>
      <c r="L94" s="323"/>
      <c r="M94" s="1146"/>
      <c r="N94" s="1146"/>
      <c r="O94" s="1146"/>
      <c r="P94" s="1146"/>
      <c r="Q94" s="1146"/>
      <c r="R94" s="1146"/>
      <c r="S94" s="323"/>
    </row>
    <row r="95" spans="5:19" ht="24">
      <c r="E95" s="324"/>
      <c r="F95" s="324"/>
      <c r="G95" s="324"/>
      <c r="H95" s="325"/>
      <c r="I95" s="1143"/>
      <c r="J95" s="1143"/>
      <c r="K95" s="324"/>
      <c r="L95" s="323"/>
      <c r="M95" s="324"/>
      <c r="N95" s="324"/>
      <c r="O95" s="324"/>
      <c r="P95" s="324"/>
      <c r="Q95" s="324"/>
      <c r="R95" s="324"/>
      <c r="S95" s="323"/>
    </row>
    <row r="96" spans="5:19" ht="24">
      <c r="E96" s="326"/>
      <c r="F96" s="326"/>
      <c r="G96" s="326"/>
      <c r="H96" s="327"/>
      <c r="I96" s="1145"/>
      <c r="J96" s="1145"/>
      <c r="K96" s="328"/>
      <c r="L96" s="323"/>
      <c r="M96" s="1143"/>
      <c r="N96" s="1143"/>
      <c r="O96" s="1143"/>
      <c r="P96" s="1143"/>
      <c r="Q96" s="1143"/>
      <c r="R96" s="1143"/>
      <c r="S96" s="323"/>
    </row>
    <row r="97" spans="5:19" ht="18.95">
      <c r="E97" s="326"/>
      <c r="F97" s="326"/>
      <c r="G97" s="326"/>
      <c r="H97" s="327"/>
      <c r="I97" s="1145"/>
      <c r="J97" s="1145"/>
      <c r="K97" s="328"/>
      <c r="L97" s="323"/>
      <c r="M97" s="326"/>
      <c r="N97" s="326"/>
      <c r="O97" s="326"/>
      <c r="P97" s="328"/>
      <c r="Q97" s="328"/>
      <c r="R97" s="328"/>
      <c r="S97" s="323"/>
    </row>
    <row r="98" spans="5:19" ht="18.95">
      <c r="E98" s="326"/>
      <c r="F98" s="326"/>
      <c r="G98" s="326"/>
      <c r="H98" s="327"/>
      <c r="I98" s="1145"/>
      <c r="J98" s="1145"/>
      <c r="K98" s="328"/>
      <c r="L98" s="323"/>
      <c r="M98" s="326"/>
      <c r="N98" s="326"/>
      <c r="O98" s="326"/>
      <c r="P98" s="328"/>
      <c r="Q98" s="328"/>
      <c r="R98" s="328"/>
      <c r="S98" s="323"/>
    </row>
    <row r="99" spans="5:19" ht="18.95">
      <c r="E99" s="326"/>
      <c r="F99" s="326"/>
      <c r="G99" s="326"/>
      <c r="H99" s="327"/>
      <c r="I99" s="1145"/>
      <c r="J99" s="1145"/>
      <c r="K99" s="328"/>
      <c r="L99" s="323"/>
      <c r="M99" s="326"/>
      <c r="N99" s="326"/>
      <c r="O99" s="326"/>
      <c r="P99" s="328"/>
      <c r="Q99" s="328"/>
      <c r="R99" s="328"/>
      <c r="S99" s="323"/>
    </row>
    <row r="100" spans="5:19" ht="18.95">
      <c r="E100" s="326"/>
      <c r="F100" s="326"/>
      <c r="G100" s="326"/>
      <c r="H100" s="327"/>
      <c r="I100" s="1145"/>
      <c r="J100" s="1145"/>
      <c r="K100" s="328"/>
      <c r="L100" s="323"/>
      <c r="M100" s="326"/>
      <c r="N100" s="326"/>
      <c r="O100" s="326"/>
      <c r="P100" s="328"/>
      <c r="Q100" s="328"/>
      <c r="R100" s="328"/>
      <c r="S100" s="323"/>
    </row>
    <row r="101" spans="5:19" ht="24">
      <c r="E101" s="1143"/>
      <c r="F101" s="1143"/>
      <c r="G101" s="1143"/>
      <c r="H101" s="1143"/>
      <c r="I101" s="1143"/>
      <c r="J101" s="1143"/>
      <c r="K101" s="1143"/>
      <c r="L101" s="323"/>
      <c r="M101" s="326"/>
      <c r="N101" s="326"/>
      <c r="O101" s="326"/>
      <c r="P101" s="328"/>
      <c r="Q101" s="328"/>
      <c r="R101" s="328"/>
      <c r="S101" s="323"/>
    </row>
    <row r="102" spans="5:19" ht="24">
      <c r="E102" s="324"/>
      <c r="F102" s="324"/>
      <c r="G102" s="324"/>
      <c r="H102" s="325"/>
      <c r="I102" s="1143"/>
      <c r="J102" s="1143"/>
      <c r="K102" s="324"/>
      <c r="L102" s="323"/>
      <c r="M102" s="1143"/>
      <c r="N102" s="1143"/>
      <c r="O102" s="1143"/>
      <c r="P102" s="1143"/>
      <c r="Q102" s="1143"/>
      <c r="R102" s="1143"/>
      <c r="S102" s="323"/>
    </row>
    <row r="103" spans="5:19" ht="18.95">
      <c r="E103" s="326"/>
      <c r="F103" s="326"/>
      <c r="G103" s="326"/>
      <c r="H103" s="327"/>
      <c r="I103" s="1143"/>
      <c r="J103" s="1143"/>
      <c r="K103" s="328"/>
      <c r="L103" s="323"/>
      <c r="M103" s="326"/>
      <c r="N103" s="326"/>
      <c r="O103" s="326"/>
      <c r="P103" s="323"/>
      <c r="Q103" s="329"/>
      <c r="R103" s="328"/>
      <c r="S103" s="323"/>
    </row>
    <row r="104" spans="5:19" ht="18.95">
      <c r="E104" s="326"/>
      <c r="F104" s="326"/>
      <c r="G104" s="326"/>
      <c r="H104" s="327"/>
      <c r="I104" s="1143"/>
      <c r="J104" s="1143"/>
      <c r="K104" s="328"/>
      <c r="L104" s="323"/>
      <c r="M104" s="326"/>
      <c r="N104" s="326"/>
      <c r="O104" s="326"/>
      <c r="P104" s="323"/>
      <c r="Q104" s="329"/>
      <c r="R104" s="328"/>
      <c r="S104" s="323"/>
    </row>
    <row r="105" spans="5:19" ht="18.95">
      <c r="E105" s="326"/>
      <c r="F105" s="326"/>
      <c r="G105" s="326"/>
      <c r="H105" s="327"/>
      <c r="I105" s="1143"/>
      <c r="J105" s="1143"/>
      <c r="K105" s="328"/>
      <c r="L105" s="323"/>
      <c r="M105" s="326"/>
      <c r="N105" s="326"/>
      <c r="O105" s="326"/>
      <c r="P105" s="323"/>
      <c r="Q105" s="329"/>
      <c r="R105" s="328"/>
      <c r="S105" s="323"/>
    </row>
    <row r="106" spans="5:19" ht="18.95">
      <c r="E106" s="326"/>
      <c r="F106" s="326"/>
      <c r="G106" s="326"/>
      <c r="H106" s="327"/>
      <c r="I106" s="1143"/>
      <c r="J106" s="1143"/>
      <c r="K106" s="328"/>
      <c r="L106" s="323"/>
      <c r="M106" s="326"/>
      <c r="N106" s="326"/>
      <c r="O106" s="326"/>
      <c r="P106" s="323"/>
      <c r="Q106" s="329"/>
      <c r="R106" s="328"/>
      <c r="S106" s="323"/>
    </row>
    <row r="107" spans="5:19" ht="18.95">
      <c r="E107" s="326"/>
      <c r="F107" s="326"/>
      <c r="G107" s="326"/>
      <c r="H107" s="327"/>
      <c r="I107" s="1143"/>
      <c r="J107" s="1143"/>
      <c r="K107" s="328"/>
      <c r="L107" s="323"/>
      <c r="M107" s="326"/>
      <c r="N107" s="326"/>
      <c r="O107" s="326"/>
      <c r="P107" s="323"/>
      <c r="Q107" s="329"/>
      <c r="R107" s="329"/>
      <c r="S107" s="323"/>
    </row>
    <row r="108" spans="5:19" ht="24">
      <c r="E108" s="1143"/>
      <c r="F108" s="1143"/>
      <c r="G108" s="1143"/>
      <c r="H108" s="1143"/>
      <c r="I108" s="1143"/>
      <c r="J108" s="1143"/>
      <c r="K108" s="1143"/>
      <c r="L108" s="323"/>
      <c r="M108" s="1143"/>
      <c r="N108" s="1143"/>
      <c r="O108" s="1143"/>
      <c r="P108" s="1143"/>
      <c r="Q108" s="1143"/>
      <c r="R108" s="1143"/>
      <c r="S108" s="330"/>
    </row>
    <row r="109" spans="5:19" ht="24">
      <c r="E109" s="324"/>
      <c r="F109" s="324"/>
      <c r="G109" s="324"/>
      <c r="H109" s="331"/>
      <c r="I109" s="1143"/>
      <c r="J109" s="1143"/>
      <c r="K109" s="324"/>
      <c r="L109" s="323"/>
      <c r="M109" s="323"/>
      <c r="N109" s="323"/>
      <c r="O109" s="323"/>
      <c r="P109" s="323"/>
      <c r="Q109" s="323"/>
      <c r="R109" s="323"/>
      <c r="S109" s="323"/>
    </row>
    <row r="110" spans="5:19" ht="18.95">
      <c r="E110" s="326"/>
      <c r="F110" s="326"/>
      <c r="G110" s="326"/>
      <c r="H110" s="327"/>
      <c r="I110" s="1143"/>
      <c r="J110" s="1143"/>
      <c r="K110" s="328"/>
      <c r="L110" s="323"/>
      <c r="M110" s="323"/>
      <c r="N110" s="323"/>
      <c r="O110" s="323"/>
      <c r="P110" s="323"/>
      <c r="Q110" s="323"/>
      <c r="R110" s="323"/>
      <c r="S110" s="323"/>
    </row>
    <row r="111" spans="5:19" ht="18.95">
      <c r="E111" s="326"/>
      <c r="F111" s="326"/>
      <c r="G111" s="326"/>
      <c r="H111" s="327"/>
      <c r="I111" s="1143"/>
      <c r="J111" s="1143"/>
      <c r="K111" s="328"/>
      <c r="L111" s="323"/>
      <c r="M111" s="323"/>
      <c r="N111" s="323"/>
      <c r="O111" s="323"/>
      <c r="P111" s="323"/>
      <c r="Q111" s="323"/>
      <c r="R111" s="323"/>
      <c r="S111" s="323"/>
    </row>
    <row r="112" spans="5:19" ht="18.95">
      <c r="E112" s="326"/>
      <c r="F112" s="326"/>
      <c r="G112" s="326"/>
      <c r="H112" s="327"/>
      <c r="I112" s="1143"/>
      <c r="J112" s="1143"/>
      <c r="K112" s="328"/>
      <c r="L112" s="323"/>
      <c r="M112" s="323"/>
      <c r="N112" s="323"/>
      <c r="O112" s="323"/>
      <c r="P112" s="323"/>
      <c r="Q112" s="323"/>
      <c r="R112" s="323"/>
      <c r="S112" s="323"/>
    </row>
    <row r="113" spans="5:19" ht="18.95">
      <c r="E113" s="326"/>
      <c r="F113" s="326"/>
      <c r="G113" s="326"/>
      <c r="H113" s="327"/>
      <c r="I113" s="1143"/>
      <c r="J113" s="1143"/>
      <c r="K113" s="328"/>
      <c r="L113" s="323"/>
      <c r="M113" s="323"/>
      <c r="N113" s="323"/>
      <c r="O113" s="323"/>
      <c r="P113" s="323"/>
      <c r="Q113" s="323"/>
      <c r="R113" s="323"/>
      <c r="S113" s="323"/>
    </row>
    <row r="114" spans="5:19" ht="18.95">
      <c r="E114" s="326"/>
      <c r="F114" s="326"/>
      <c r="G114" s="326"/>
      <c r="H114" s="327"/>
      <c r="I114" s="1143"/>
      <c r="J114" s="1143"/>
      <c r="K114" s="328"/>
      <c r="L114" s="323"/>
      <c r="M114" s="323"/>
      <c r="N114" s="323"/>
      <c r="O114" s="323"/>
      <c r="P114" s="323"/>
      <c r="Q114" s="323"/>
      <c r="R114" s="323"/>
      <c r="S114" s="323"/>
    </row>
    <row r="115" spans="5:19" ht="24">
      <c r="E115" s="1143"/>
      <c r="F115" s="1143"/>
      <c r="G115" s="1143"/>
      <c r="H115" s="1143"/>
      <c r="I115" s="1143"/>
      <c r="J115" s="1143"/>
      <c r="K115" s="1143"/>
      <c r="L115" s="323"/>
      <c r="M115" s="323"/>
      <c r="N115" s="323"/>
      <c r="O115" s="323"/>
      <c r="P115" s="323"/>
      <c r="Q115" s="323"/>
      <c r="R115" s="323"/>
      <c r="S115" s="323"/>
    </row>
    <row r="116" spans="5:19" ht="24">
      <c r="E116" s="324"/>
      <c r="F116" s="324"/>
      <c r="G116" s="324"/>
      <c r="H116" s="331"/>
      <c r="I116" s="1143"/>
      <c r="J116" s="1143"/>
      <c r="K116" s="324"/>
      <c r="L116" s="323"/>
      <c r="M116" s="323"/>
      <c r="N116" s="323"/>
      <c r="O116" s="323"/>
      <c r="P116" s="323"/>
      <c r="Q116" s="323"/>
      <c r="R116" s="323"/>
      <c r="S116" s="323"/>
    </row>
    <row r="117" spans="5:19" ht="18.95">
      <c r="E117" s="326"/>
      <c r="F117" s="326"/>
      <c r="G117" s="326"/>
      <c r="H117" s="327"/>
      <c r="I117" s="1143"/>
      <c r="J117" s="1143"/>
      <c r="K117" s="328"/>
      <c r="L117" s="323"/>
      <c r="M117" s="323"/>
      <c r="N117" s="323"/>
      <c r="O117" s="323"/>
      <c r="P117" s="323"/>
      <c r="Q117" s="323"/>
      <c r="R117" s="323"/>
      <c r="S117" s="323"/>
    </row>
    <row r="118" spans="5:19" ht="18.95">
      <c r="E118" s="326"/>
      <c r="F118" s="326"/>
      <c r="G118" s="326"/>
      <c r="H118" s="327"/>
      <c r="I118" s="1143"/>
      <c r="J118" s="1143"/>
      <c r="K118" s="328"/>
      <c r="L118" s="323"/>
      <c r="M118" s="323"/>
      <c r="N118" s="323"/>
      <c r="O118" s="323"/>
      <c r="P118" s="323"/>
      <c r="Q118" s="323"/>
      <c r="R118" s="323"/>
      <c r="S118" s="323"/>
    </row>
    <row r="119" spans="5:19" ht="18.95">
      <c r="E119" s="326"/>
      <c r="F119" s="326"/>
      <c r="G119" s="326"/>
      <c r="H119" s="327"/>
      <c r="I119" s="1143"/>
      <c r="J119" s="1143"/>
      <c r="K119" s="328"/>
      <c r="L119" s="323"/>
      <c r="M119" s="323"/>
      <c r="N119" s="323"/>
      <c r="O119" s="323"/>
      <c r="P119" s="323"/>
      <c r="Q119" s="323"/>
      <c r="R119" s="323"/>
      <c r="S119" s="323"/>
    </row>
    <row r="120" spans="5:19" ht="18.95">
      <c r="E120" s="326"/>
      <c r="F120" s="326"/>
      <c r="G120" s="326"/>
      <c r="H120" s="327"/>
      <c r="I120" s="1143"/>
      <c r="J120" s="1143"/>
      <c r="K120" s="328"/>
      <c r="L120" s="323"/>
      <c r="M120" s="323"/>
      <c r="N120" s="323"/>
      <c r="O120" s="323"/>
      <c r="P120" s="323"/>
      <c r="Q120" s="323"/>
      <c r="R120" s="323"/>
      <c r="S120" s="323"/>
    </row>
    <row r="121" spans="5:19" ht="18.95">
      <c r="E121" s="326"/>
      <c r="F121" s="326"/>
      <c r="G121" s="326"/>
      <c r="H121" s="327"/>
      <c r="I121" s="1143"/>
      <c r="J121" s="1143"/>
      <c r="K121" s="328"/>
      <c r="L121" s="323"/>
      <c r="M121" s="323"/>
      <c r="N121" s="323"/>
      <c r="O121" s="323"/>
      <c r="P121" s="323"/>
      <c r="Q121" s="323"/>
      <c r="R121" s="323"/>
      <c r="S121" s="323"/>
    </row>
    <row r="122" spans="5:19" ht="24">
      <c r="E122" s="1143"/>
      <c r="F122" s="1143"/>
      <c r="G122" s="1143"/>
      <c r="H122" s="1143"/>
      <c r="I122" s="1143"/>
      <c r="J122" s="1143"/>
      <c r="K122" s="1143"/>
      <c r="L122" s="323"/>
      <c r="M122" s="323"/>
      <c r="N122" s="323"/>
      <c r="O122" s="323"/>
      <c r="P122" s="323"/>
      <c r="Q122" s="323"/>
      <c r="R122" s="323"/>
      <c r="S122" s="323"/>
    </row>
    <row r="123" spans="5:19" ht="24">
      <c r="E123" s="324"/>
      <c r="F123" s="324"/>
      <c r="G123" s="324"/>
      <c r="H123" s="1144"/>
      <c r="I123" s="1144"/>
      <c r="J123" s="1144"/>
      <c r="K123" s="324"/>
      <c r="L123" s="323"/>
      <c r="M123" s="323"/>
      <c r="N123" s="323"/>
      <c r="O123" s="323"/>
      <c r="P123" s="323"/>
      <c r="Q123" s="323"/>
      <c r="R123" s="323"/>
      <c r="S123" s="323"/>
    </row>
    <row r="124" spans="5:19" ht="18.95">
      <c r="E124" s="332"/>
      <c r="F124" s="326"/>
      <c r="G124" s="333"/>
      <c r="H124" s="1144"/>
      <c r="I124" s="1144"/>
      <c r="J124" s="1144"/>
      <c r="K124" s="334"/>
      <c r="L124" s="323"/>
      <c r="M124" s="323"/>
      <c r="N124" s="323"/>
      <c r="O124" s="323"/>
      <c r="P124" s="323"/>
      <c r="Q124" s="323"/>
      <c r="R124" s="323"/>
      <c r="S124" s="323"/>
    </row>
    <row r="125" spans="5:19" ht="18.95">
      <c r="E125" s="332"/>
      <c r="F125" s="326"/>
      <c r="G125" s="333"/>
      <c r="H125" s="1144"/>
      <c r="I125" s="1144"/>
      <c r="J125" s="1144"/>
      <c r="K125" s="334"/>
      <c r="L125" s="323"/>
      <c r="M125" s="323"/>
      <c r="N125" s="323"/>
      <c r="O125" s="323"/>
      <c r="P125" s="323"/>
      <c r="Q125" s="323"/>
      <c r="R125" s="323"/>
      <c r="S125" s="323"/>
    </row>
    <row r="126" spans="5:19" ht="18.95">
      <c r="E126" s="332"/>
      <c r="F126" s="326"/>
      <c r="G126" s="333"/>
      <c r="H126" s="1144"/>
      <c r="I126" s="1144"/>
      <c r="J126" s="1144"/>
      <c r="K126" s="334"/>
      <c r="L126" s="323"/>
      <c r="M126" s="323"/>
      <c r="N126" s="323"/>
      <c r="O126" s="323"/>
      <c r="P126" s="323"/>
      <c r="Q126" s="323"/>
      <c r="R126" s="323"/>
      <c r="S126" s="323"/>
    </row>
    <row r="127" spans="5:19" ht="18.95">
      <c r="E127" s="332"/>
      <c r="F127" s="326"/>
      <c r="G127" s="333"/>
      <c r="H127" s="1144"/>
      <c r="I127" s="1144"/>
      <c r="J127" s="1144"/>
      <c r="K127" s="334"/>
      <c r="L127" s="323"/>
      <c r="M127" s="323"/>
      <c r="N127" s="323"/>
      <c r="O127" s="323"/>
      <c r="P127" s="323"/>
      <c r="Q127" s="323"/>
      <c r="R127" s="323"/>
      <c r="S127" s="323"/>
    </row>
    <row r="128" spans="5:19" ht="18.95">
      <c r="E128" s="332"/>
      <c r="F128" s="326"/>
      <c r="G128" s="333"/>
      <c r="H128" s="1144"/>
      <c r="I128" s="1144"/>
      <c r="J128" s="1144"/>
      <c r="K128" s="334"/>
      <c r="L128" s="323"/>
      <c r="M128" s="323"/>
      <c r="N128" s="323"/>
      <c r="O128" s="323"/>
      <c r="P128" s="323"/>
      <c r="Q128" s="323"/>
      <c r="R128" s="323"/>
      <c r="S128" s="323"/>
    </row>
    <row r="129" spans="5:19" ht="18.95">
      <c r="E129" s="332"/>
      <c r="F129" s="326"/>
      <c r="G129" s="333"/>
      <c r="H129" s="1144"/>
      <c r="I129" s="1144"/>
      <c r="J129" s="1144"/>
      <c r="K129" s="334"/>
      <c r="L129" s="323"/>
      <c r="M129" s="323"/>
      <c r="N129" s="323"/>
      <c r="O129" s="323"/>
      <c r="P129" s="323"/>
      <c r="Q129" s="323"/>
      <c r="R129" s="323"/>
      <c r="S129" s="323"/>
    </row>
    <row r="130" spans="5:19" ht="18.95">
      <c r="E130" s="332"/>
      <c r="F130" s="326"/>
      <c r="G130" s="333"/>
      <c r="H130" s="1144"/>
      <c r="I130" s="1144"/>
      <c r="J130" s="1144"/>
      <c r="K130" s="334"/>
      <c r="L130" s="323"/>
      <c r="M130" s="323"/>
      <c r="N130" s="323"/>
      <c r="O130" s="323"/>
      <c r="P130" s="323"/>
      <c r="Q130" s="323"/>
      <c r="R130" s="323"/>
      <c r="S130" s="323"/>
    </row>
    <row r="131" spans="5:19" ht="18.95">
      <c r="E131" s="332"/>
      <c r="F131" s="326"/>
      <c r="G131" s="333"/>
      <c r="H131" s="1144"/>
      <c r="I131" s="1144"/>
      <c r="J131" s="1144"/>
      <c r="K131" s="334"/>
      <c r="L131" s="323"/>
      <c r="M131" s="323"/>
      <c r="N131" s="323"/>
      <c r="O131" s="323"/>
      <c r="P131" s="323"/>
      <c r="Q131" s="323"/>
      <c r="R131" s="323"/>
      <c r="S131" s="323"/>
    </row>
    <row r="132" spans="5:19" ht="24">
      <c r="E132" s="1143"/>
      <c r="F132" s="1143"/>
      <c r="G132" s="1143"/>
      <c r="H132" s="1143"/>
      <c r="I132" s="1143"/>
      <c r="J132" s="1143"/>
      <c r="K132" s="1143"/>
      <c r="L132" s="323"/>
      <c r="M132" s="1143"/>
      <c r="N132" s="1143"/>
      <c r="O132" s="1143"/>
      <c r="P132" s="1143"/>
      <c r="Q132" s="1143"/>
      <c r="R132" s="1143"/>
      <c r="S132" s="1143"/>
    </row>
    <row r="133" spans="5:19" ht="24">
      <c r="E133" s="324"/>
      <c r="F133" s="324"/>
      <c r="G133" s="324"/>
      <c r="H133" s="325"/>
      <c r="I133" s="324"/>
      <c r="J133" s="1143"/>
      <c r="K133" s="324"/>
      <c r="L133" s="323"/>
      <c r="M133" s="323"/>
      <c r="N133" s="332"/>
      <c r="O133" s="323"/>
      <c r="P133" s="323"/>
      <c r="Q133" s="328"/>
      <c r="R133" s="323"/>
      <c r="S133" s="323"/>
    </row>
    <row r="134" spans="5:19" ht="18.95">
      <c r="E134" s="332"/>
      <c r="F134" s="332"/>
      <c r="G134" s="332"/>
      <c r="H134" s="327"/>
      <c r="I134" s="329"/>
      <c r="J134" s="1143"/>
      <c r="K134" s="335"/>
      <c r="L134" s="323"/>
      <c r="M134" s="323"/>
      <c r="N134" s="323"/>
      <c r="O134" s="323"/>
      <c r="P134" s="323"/>
      <c r="Q134" s="323"/>
      <c r="R134" s="323"/>
      <c r="S134" s="323"/>
    </row>
    <row r="135" spans="5:19" ht="18.95">
      <c r="E135" s="332"/>
      <c r="F135" s="332"/>
      <c r="G135" s="332"/>
      <c r="H135" s="327"/>
      <c r="I135" s="329"/>
      <c r="J135" s="1143"/>
      <c r="K135" s="335"/>
      <c r="L135" s="323"/>
      <c r="M135" s="323"/>
      <c r="N135" s="323"/>
      <c r="O135" s="323"/>
      <c r="P135" s="323"/>
      <c r="Q135" s="323"/>
      <c r="R135" s="323"/>
      <c r="S135" s="323"/>
    </row>
    <row r="136" spans="5:19" ht="18.95">
      <c r="E136" s="332"/>
      <c r="F136" s="332"/>
      <c r="G136" s="332"/>
      <c r="H136" s="327"/>
      <c r="I136" s="329"/>
      <c r="J136" s="1143"/>
      <c r="K136" s="335"/>
      <c r="L136" s="323"/>
      <c r="M136" s="323"/>
      <c r="N136" s="323"/>
      <c r="O136" s="323"/>
      <c r="P136" s="323"/>
      <c r="Q136" s="323"/>
      <c r="R136" s="323"/>
      <c r="S136" s="323"/>
    </row>
    <row r="137" spans="5:19" ht="18.95">
      <c r="E137" s="332"/>
      <c r="F137" s="332"/>
      <c r="G137" s="332"/>
      <c r="H137" s="327"/>
      <c r="I137" s="329"/>
      <c r="J137" s="1143"/>
      <c r="K137" s="335"/>
      <c r="L137" s="323"/>
      <c r="M137" s="323"/>
      <c r="N137" s="323"/>
      <c r="O137" s="323"/>
      <c r="P137" s="323"/>
      <c r="Q137" s="323"/>
      <c r="R137" s="323"/>
      <c r="S137" s="323"/>
    </row>
    <row r="138" spans="5:19" ht="24">
      <c r="E138" s="1143"/>
      <c r="F138" s="1143"/>
      <c r="G138" s="1143"/>
      <c r="H138" s="1143"/>
      <c r="I138" s="1143"/>
      <c r="J138" s="1143"/>
      <c r="K138" s="1143"/>
      <c r="L138" s="323"/>
      <c r="M138" s="323"/>
      <c r="N138" s="323"/>
      <c r="O138" s="323"/>
      <c r="P138" s="323"/>
      <c r="Q138" s="323"/>
      <c r="R138" s="323"/>
      <c r="S138" s="323"/>
    </row>
    <row r="139" spans="5:19" ht="24">
      <c r="E139" s="324"/>
      <c r="F139" s="324"/>
      <c r="G139" s="324"/>
      <c r="H139" s="325"/>
      <c r="I139" s="324"/>
      <c r="J139" s="324"/>
      <c r="K139" s="324"/>
      <c r="L139" s="323"/>
      <c r="M139" s="323"/>
      <c r="N139" s="323"/>
      <c r="O139" s="323"/>
      <c r="P139" s="323"/>
      <c r="Q139" s="323"/>
      <c r="R139" s="323"/>
      <c r="S139" s="323"/>
    </row>
    <row r="140" spans="5:19" ht="18.95">
      <c r="E140" s="332"/>
      <c r="F140" s="332"/>
      <c r="G140" s="332"/>
      <c r="H140" s="327"/>
      <c r="I140" s="329"/>
      <c r="J140" s="323"/>
      <c r="K140" s="335"/>
      <c r="L140" s="323"/>
      <c r="M140" s="323"/>
      <c r="N140" s="323"/>
      <c r="O140" s="323"/>
      <c r="P140" s="323"/>
      <c r="Q140" s="323"/>
      <c r="R140" s="323"/>
      <c r="S140" s="323"/>
    </row>
    <row r="141" spans="5:19" ht="18.95">
      <c r="E141" s="332"/>
      <c r="F141" s="332"/>
      <c r="G141" s="332"/>
      <c r="H141" s="327"/>
      <c r="I141" s="329"/>
      <c r="J141" s="323"/>
      <c r="K141" s="335"/>
      <c r="L141" s="323"/>
      <c r="M141" s="323"/>
      <c r="N141" s="323"/>
      <c r="O141" s="323"/>
      <c r="P141" s="323"/>
      <c r="Q141" s="323"/>
      <c r="R141" s="323"/>
      <c r="S141" s="323"/>
    </row>
    <row r="142" spans="5:19" ht="18.95">
      <c r="E142" s="332"/>
      <c r="F142" s="332"/>
      <c r="G142" s="332"/>
      <c r="H142" s="327"/>
      <c r="I142" s="329"/>
      <c r="J142" s="323"/>
      <c r="K142" s="335"/>
      <c r="L142" s="323"/>
      <c r="M142" s="323"/>
      <c r="N142" s="323"/>
      <c r="O142" s="323"/>
      <c r="P142" s="323"/>
      <c r="Q142" s="323"/>
      <c r="R142" s="323"/>
      <c r="S142" s="323"/>
    </row>
    <row r="143" spans="5:19" ht="18.95">
      <c r="E143" s="332"/>
      <c r="F143" s="332"/>
      <c r="G143" s="332"/>
      <c r="H143" s="327"/>
      <c r="I143" s="329"/>
      <c r="J143" s="323"/>
      <c r="K143" s="335"/>
      <c r="L143" s="323"/>
      <c r="M143" s="323"/>
      <c r="N143" s="323"/>
      <c r="O143" s="323"/>
      <c r="P143" s="323"/>
      <c r="Q143" s="323"/>
      <c r="R143" s="323"/>
      <c r="S143" s="323"/>
    </row>
    <row r="144" spans="5:19" ht="21">
      <c r="E144" s="1183"/>
      <c r="F144" s="1183"/>
      <c r="G144" s="1183"/>
      <c r="H144" s="1183"/>
      <c r="I144" s="1183"/>
      <c r="J144" s="1183"/>
      <c r="K144" s="336"/>
      <c r="L144" s="323"/>
      <c r="M144" s="323"/>
      <c r="N144" s="323"/>
      <c r="O144" s="323"/>
      <c r="P144" s="323"/>
      <c r="Q144" s="323"/>
      <c r="R144" s="323"/>
      <c r="S144" s="323"/>
    </row>
    <row r="145" spans="5:19">
      <c r="E145" s="337"/>
      <c r="F145" s="337"/>
      <c r="G145" s="337"/>
      <c r="H145" s="338"/>
      <c r="I145" s="337"/>
      <c r="J145" s="337"/>
      <c r="K145" s="337"/>
      <c r="L145" s="337"/>
      <c r="M145" s="337"/>
      <c r="N145" s="337"/>
      <c r="O145" s="337"/>
      <c r="P145" s="337"/>
      <c r="Q145" s="337"/>
      <c r="R145" s="337"/>
      <c r="S145" s="337"/>
    </row>
    <row r="146" spans="5:19">
      <c r="E146" s="337"/>
      <c r="F146" s="337"/>
      <c r="G146" s="337"/>
      <c r="H146" s="338"/>
      <c r="I146" s="337"/>
      <c r="J146" s="337"/>
      <c r="K146" s="337"/>
      <c r="L146" s="337"/>
      <c r="M146" s="337"/>
      <c r="N146" s="337"/>
      <c r="O146" s="337"/>
      <c r="P146" s="337"/>
      <c r="Q146" s="337"/>
      <c r="R146" s="337"/>
      <c r="S146" s="337"/>
    </row>
  </sheetData>
  <mergeCells count="74">
    <mergeCell ref="I18:J18"/>
    <mergeCell ref="E144:J144"/>
    <mergeCell ref="E138:K138"/>
    <mergeCell ref="E55:J55"/>
    <mergeCell ref="E49:J49"/>
    <mergeCell ref="E43:J43"/>
    <mergeCell ref="E20:G20"/>
    <mergeCell ref="E18:G18"/>
    <mergeCell ref="E19:F19"/>
    <mergeCell ref="E29:G29"/>
    <mergeCell ref="E93:K93"/>
    <mergeCell ref="E94:K94"/>
    <mergeCell ref="F82:G82"/>
    <mergeCell ref="F85:G85"/>
    <mergeCell ref="F86:G86"/>
    <mergeCell ref="F87:G87"/>
    <mergeCell ref="E2:K2"/>
    <mergeCell ref="E4:K4"/>
    <mergeCell ref="E6:K6"/>
    <mergeCell ref="E8:K8"/>
    <mergeCell ref="E9:K9"/>
    <mergeCell ref="E10:K10"/>
    <mergeCell ref="E11:K11"/>
    <mergeCell ref="E12:K12"/>
    <mergeCell ref="E14:K14"/>
    <mergeCell ref="E15:K15"/>
    <mergeCell ref="M94:R94"/>
    <mergeCell ref="I50:I54"/>
    <mergeCell ref="E77:J77"/>
    <mergeCell ref="E89:I89"/>
    <mergeCell ref="E41:J41"/>
    <mergeCell ref="F84:G84"/>
    <mergeCell ref="E83:J83"/>
    <mergeCell ref="I56:I60"/>
    <mergeCell ref="I62:I66"/>
    <mergeCell ref="H68:I76"/>
    <mergeCell ref="H84:H88"/>
    <mergeCell ref="E61:J61"/>
    <mergeCell ref="F79:G79"/>
    <mergeCell ref="F80:G80"/>
    <mergeCell ref="F81:G81"/>
    <mergeCell ref="H78:H82"/>
    <mergeCell ref="M108:R108"/>
    <mergeCell ref="I95:J95"/>
    <mergeCell ref="I96:J96"/>
    <mergeCell ref="M96:R96"/>
    <mergeCell ref="I97:J97"/>
    <mergeCell ref="I98:J98"/>
    <mergeCell ref="I99:J99"/>
    <mergeCell ref="I100:J100"/>
    <mergeCell ref="E101:K101"/>
    <mergeCell ref="I102:J107"/>
    <mergeCell ref="M102:R102"/>
    <mergeCell ref="E108:K108"/>
    <mergeCell ref="M132:S132"/>
    <mergeCell ref="J133:J137"/>
    <mergeCell ref="I109:J114"/>
    <mergeCell ref="E115:K115"/>
    <mergeCell ref="I116:J121"/>
    <mergeCell ref="E122:K122"/>
    <mergeCell ref="H123:J131"/>
    <mergeCell ref="E132:K132"/>
    <mergeCell ref="F88:G88"/>
    <mergeCell ref="F68:G68"/>
    <mergeCell ref="F69:G69"/>
    <mergeCell ref="F78:G78"/>
    <mergeCell ref="E67:J67"/>
    <mergeCell ref="F70:G70"/>
    <mergeCell ref="F73:G73"/>
    <mergeCell ref="F76:G76"/>
    <mergeCell ref="F75:G75"/>
    <mergeCell ref="F71:G71"/>
    <mergeCell ref="F74:G74"/>
    <mergeCell ref="F72:G7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dimension ref="A1:H104"/>
  <sheetViews>
    <sheetView showGridLines="0" zoomScale="70" zoomScaleNormal="70" workbookViewId="0">
      <selection activeCell="C18" sqref="C18"/>
    </sheetView>
  </sheetViews>
  <sheetFormatPr defaultColWidth="11.42578125" defaultRowHeight="15" outlineLevelCol="1"/>
  <cols>
    <col min="1" max="1" width="16.85546875" customWidth="1"/>
    <col min="2" max="2" width="58.42578125" customWidth="1"/>
    <col min="3" max="3" width="21.42578125" customWidth="1"/>
    <col min="5" max="5" width="11.42578125" customWidth="1"/>
    <col min="8" max="8" width="37" customWidth="1" outlineLevel="1"/>
  </cols>
  <sheetData>
    <row r="1" spans="1:8" ht="15.95" thickBot="1"/>
    <row r="2" spans="1:8" ht="54.95" customHeight="1" thickBot="1">
      <c r="B2" s="942" t="s">
        <v>20</v>
      </c>
      <c r="C2" s="943"/>
      <c r="D2" s="944"/>
    </row>
    <row r="3" spans="1:8" ht="48.95" thickBot="1">
      <c r="B3" s="56" t="s">
        <v>21</v>
      </c>
      <c r="C3" s="230" t="s">
        <v>22</v>
      </c>
      <c r="D3" s="57" t="s">
        <v>23</v>
      </c>
      <c r="H3" s="58" t="s">
        <v>24</v>
      </c>
    </row>
    <row r="4" spans="1:8" ht="63.95">
      <c r="A4" s="936" t="s">
        <v>25</v>
      </c>
      <c r="B4" s="59" t="s">
        <v>26</v>
      </c>
      <c r="C4" s="231"/>
      <c r="D4" s="61" t="str">
        <f t="shared" ref="D4:D35" si="0">IF(OR(C4="1-Investissements",C4="2-Frais généraux",C4="3-Contributions en nature",C4="4-Amortissement"),"Au réel",IF(OR(C4="5-Tx forf personnel+autoconst",C4="6-Coût unitaire bananes",C4="7-Coût unitaire cannes à sucre"),"OCS",""))</f>
        <v/>
      </c>
      <c r="H4" s="62" t="s">
        <v>27</v>
      </c>
    </row>
    <row r="5" spans="1:8" ht="32.1">
      <c r="A5" s="937"/>
      <c r="B5" s="63" t="s">
        <v>28</v>
      </c>
      <c r="C5" s="232"/>
      <c r="D5" s="64" t="str">
        <f t="shared" si="0"/>
        <v/>
      </c>
      <c r="H5" s="62" t="s">
        <v>29</v>
      </c>
    </row>
    <row r="6" spans="1:8" ht="15.95">
      <c r="A6" s="937"/>
      <c r="B6" s="63" t="s">
        <v>30</v>
      </c>
      <c r="C6" s="232"/>
      <c r="D6" s="64" t="str">
        <f t="shared" si="0"/>
        <v/>
      </c>
      <c r="H6" s="62" t="s">
        <v>30</v>
      </c>
    </row>
    <row r="7" spans="1:8" ht="63.95">
      <c r="A7" s="937"/>
      <c r="B7" s="65" t="s">
        <v>31</v>
      </c>
      <c r="C7" s="232"/>
      <c r="D7" s="64" t="str">
        <f t="shared" si="0"/>
        <v/>
      </c>
      <c r="H7" s="62" t="s">
        <v>32</v>
      </c>
    </row>
    <row r="8" spans="1:8" ht="15.95">
      <c r="A8" s="937"/>
      <c r="B8" s="63" t="s">
        <v>33</v>
      </c>
      <c r="C8" s="232"/>
      <c r="D8" s="64" t="str">
        <f t="shared" si="0"/>
        <v/>
      </c>
      <c r="H8" s="62" t="s">
        <v>33</v>
      </c>
    </row>
    <row r="9" spans="1:8" ht="48">
      <c r="A9" s="937"/>
      <c r="B9" s="66" t="s">
        <v>34</v>
      </c>
      <c r="C9" s="232"/>
      <c r="D9" s="64" t="str">
        <f t="shared" si="0"/>
        <v/>
      </c>
      <c r="H9" s="62" t="s">
        <v>35</v>
      </c>
    </row>
    <row r="10" spans="1:8" ht="15.95">
      <c r="A10" s="937"/>
      <c r="B10" s="63" t="s">
        <v>36</v>
      </c>
      <c r="C10" s="232"/>
      <c r="D10" s="64" t="str">
        <f t="shared" si="0"/>
        <v/>
      </c>
      <c r="H10" s="62" t="s">
        <v>36</v>
      </c>
    </row>
    <row r="11" spans="1:8" ht="48">
      <c r="A11" s="937"/>
      <c r="B11" s="66" t="s">
        <v>37</v>
      </c>
      <c r="C11" s="232"/>
      <c r="D11" s="64" t="str">
        <f t="shared" si="0"/>
        <v/>
      </c>
      <c r="H11" s="62" t="s">
        <v>38</v>
      </c>
    </row>
    <row r="12" spans="1:8" ht="48.95" thickBot="1">
      <c r="A12" s="938"/>
      <c r="B12" s="67" t="s">
        <v>39</v>
      </c>
      <c r="C12" s="233"/>
      <c r="D12" s="68" t="str">
        <f t="shared" si="0"/>
        <v/>
      </c>
      <c r="H12" s="114" t="s">
        <v>40</v>
      </c>
    </row>
    <row r="13" spans="1:8" ht="15.95">
      <c r="A13" s="936" t="s">
        <v>41</v>
      </c>
      <c r="B13" s="69" t="s">
        <v>29</v>
      </c>
      <c r="C13" s="234" t="s">
        <v>42</v>
      </c>
      <c r="D13" s="70" t="str">
        <f t="shared" si="0"/>
        <v>Au réel</v>
      </c>
      <c r="H13" s="71"/>
    </row>
    <row r="14" spans="1:8" ht="15.95">
      <c r="A14" s="937"/>
      <c r="B14" s="60" t="s">
        <v>29</v>
      </c>
      <c r="C14" s="231" t="s">
        <v>43</v>
      </c>
      <c r="D14" s="64" t="str">
        <f t="shared" si="0"/>
        <v>Au réel</v>
      </c>
      <c r="H14" s="71"/>
    </row>
    <row r="15" spans="1:8" ht="15.95">
      <c r="A15" s="937"/>
      <c r="B15" s="60" t="s">
        <v>30</v>
      </c>
      <c r="C15" s="231" t="s">
        <v>44</v>
      </c>
      <c r="D15" s="64" t="str">
        <f t="shared" si="0"/>
        <v>OCS</v>
      </c>
      <c r="H15" s="71"/>
    </row>
    <row r="16" spans="1:8" ht="33" thickBot="1">
      <c r="A16" s="938"/>
      <c r="B16" s="72" t="s">
        <v>30</v>
      </c>
      <c r="C16" s="235" t="s">
        <v>45</v>
      </c>
      <c r="D16" s="239" t="str">
        <f t="shared" si="0"/>
        <v>OCS</v>
      </c>
      <c r="H16" s="71"/>
    </row>
    <row r="17" spans="1:4" ht="35.25" customHeight="1">
      <c r="A17" s="939" t="s">
        <v>46</v>
      </c>
      <c r="B17" s="8"/>
      <c r="C17" s="236"/>
      <c r="D17" s="240" t="str">
        <f t="shared" si="0"/>
        <v/>
      </c>
    </row>
    <row r="18" spans="1:4" ht="35.25" customHeight="1">
      <c r="A18" s="940"/>
      <c r="B18" s="8"/>
      <c r="C18" s="237"/>
      <c r="D18" s="241" t="str">
        <f t="shared" si="0"/>
        <v/>
      </c>
    </row>
    <row r="19" spans="1:4" ht="35.25" customHeight="1">
      <c r="A19" s="940"/>
      <c r="B19" s="8"/>
      <c r="C19" s="237"/>
      <c r="D19" s="241" t="str">
        <f t="shared" si="0"/>
        <v/>
      </c>
    </row>
    <row r="20" spans="1:4" ht="35.25" customHeight="1">
      <c r="A20" s="940"/>
      <c r="B20" s="8"/>
      <c r="C20" s="237"/>
      <c r="D20" s="241" t="str">
        <f t="shared" si="0"/>
        <v/>
      </c>
    </row>
    <row r="21" spans="1:4" ht="35.25" customHeight="1">
      <c r="A21" s="940"/>
      <c r="B21" s="8"/>
      <c r="C21" s="237"/>
      <c r="D21" s="241" t="str">
        <f t="shared" si="0"/>
        <v/>
      </c>
    </row>
    <row r="22" spans="1:4" ht="35.25" customHeight="1">
      <c r="A22" s="940"/>
      <c r="B22" s="8"/>
      <c r="C22" s="237"/>
      <c r="D22" s="241" t="str">
        <f t="shared" si="0"/>
        <v/>
      </c>
    </row>
    <row r="23" spans="1:4" ht="35.25" customHeight="1">
      <c r="A23" s="940"/>
      <c r="B23" s="8"/>
      <c r="C23" s="237"/>
      <c r="D23" s="241" t="str">
        <f t="shared" si="0"/>
        <v/>
      </c>
    </row>
    <row r="24" spans="1:4" ht="35.25" customHeight="1">
      <c r="A24" s="940"/>
      <c r="B24" s="8"/>
      <c r="C24" s="237"/>
      <c r="D24" s="241" t="str">
        <f t="shared" si="0"/>
        <v/>
      </c>
    </row>
    <row r="25" spans="1:4" ht="35.25" customHeight="1">
      <c r="A25" s="940"/>
      <c r="B25" s="8"/>
      <c r="C25" s="237"/>
      <c r="D25" s="241" t="str">
        <f t="shared" si="0"/>
        <v/>
      </c>
    </row>
    <row r="26" spans="1:4" ht="35.25" customHeight="1">
      <c r="A26" s="940"/>
      <c r="B26" s="8"/>
      <c r="C26" s="237"/>
      <c r="D26" s="241" t="str">
        <f t="shared" si="0"/>
        <v/>
      </c>
    </row>
    <row r="27" spans="1:4" ht="35.25" customHeight="1">
      <c r="A27" s="940"/>
      <c r="B27" s="8"/>
      <c r="C27" s="237"/>
      <c r="D27" s="241" t="str">
        <f t="shared" si="0"/>
        <v/>
      </c>
    </row>
    <row r="28" spans="1:4" ht="35.25" customHeight="1">
      <c r="A28" s="940"/>
      <c r="B28" s="8"/>
      <c r="C28" s="237"/>
      <c r="D28" s="241" t="str">
        <f t="shared" si="0"/>
        <v/>
      </c>
    </row>
    <row r="29" spans="1:4" ht="35.25" customHeight="1">
      <c r="A29" s="940"/>
      <c r="B29" s="8"/>
      <c r="C29" s="237"/>
      <c r="D29" s="241" t="str">
        <f t="shared" si="0"/>
        <v/>
      </c>
    </row>
    <row r="30" spans="1:4" ht="35.25" customHeight="1">
      <c r="A30" s="940"/>
      <c r="B30" s="8"/>
      <c r="C30" s="237"/>
      <c r="D30" s="241" t="str">
        <f t="shared" si="0"/>
        <v/>
      </c>
    </row>
    <row r="31" spans="1:4" ht="35.25" customHeight="1">
      <c r="A31" s="940"/>
      <c r="B31" s="8"/>
      <c r="C31" s="237"/>
      <c r="D31" s="241" t="str">
        <f t="shared" si="0"/>
        <v/>
      </c>
    </row>
    <row r="32" spans="1:4" ht="35.25" customHeight="1">
      <c r="A32" s="940"/>
      <c r="B32" s="8"/>
      <c r="C32" s="237"/>
      <c r="D32" s="241" t="str">
        <f t="shared" si="0"/>
        <v/>
      </c>
    </row>
    <row r="33" spans="1:4" ht="35.25" customHeight="1">
      <c r="A33" s="940"/>
      <c r="B33" s="8"/>
      <c r="C33" s="237"/>
      <c r="D33" s="241" t="str">
        <f t="shared" si="0"/>
        <v/>
      </c>
    </row>
    <row r="34" spans="1:4" ht="35.25" customHeight="1">
      <c r="A34" s="940"/>
      <c r="B34" s="8"/>
      <c r="C34" s="237"/>
      <c r="D34" s="241" t="str">
        <f t="shared" si="0"/>
        <v/>
      </c>
    </row>
    <row r="35" spans="1:4" ht="35.25" customHeight="1">
      <c r="A35" s="940"/>
      <c r="B35" s="8"/>
      <c r="C35" s="237"/>
      <c r="D35" s="241" t="str">
        <f t="shared" si="0"/>
        <v/>
      </c>
    </row>
    <row r="36" spans="1:4" ht="35.25" customHeight="1">
      <c r="A36" s="940"/>
      <c r="B36" s="8"/>
      <c r="C36" s="237"/>
      <c r="D36" s="241" t="str">
        <f t="shared" ref="D36:D67" si="1">IF(OR(C36="1-Investissements",C36="2-Frais généraux",C36="3-Contributions en nature",C36="4-Amortissement"),"Au réel",IF(OR(C36="5-Tx forf personnel+autoconst",C36="6-Coût unitaire bananes",C36="7-Coût unitaire cannes à sucre"),"OCS",""))</f>
        <v/>
      </c>
    </row>
    <row r="37" spans="1:4" ht="35.25" customHeight="1">
      <c r="A37" s="940"/>
      <c r="B37" s="8"/>
      <c r="C37" s="237"/>
      <c r="D37" s="241" t="str">
        <f t="shared" si="1"/>
        <v/>
      </c>
    </row>
    <row r="38" spans="1:4" ht="35.25" customHeight="1">
      <c r="A38" s="940"/>
      <c r="B38" s="8"/>
      <c r="C38" s="237"/>
      <c r="D38" s="241" t="str">
        <f t="shared" si="1"/>
        <v/>
      </c>
    </row>
    <row r="39" spans="1:4" ht="35.25" customHeight="1">
      <c r="A39" s="940"/>
      <c r="B39" s="8"/>
      <c r="C39" s="237"/>
      <c r="D39" s="241" t="str">
        <f t="shared" si="1"/>
        <v/>
      </c>
    </row>
    <row r="40" spans="1:4" ht="35.25" customHeight="1">
      <c r="A40" s="940"/>
      <c r="B40" s="8"/>
      <c r="C40" s="237"/>
      <c r="D40" s="241" t="str">
        <f t="shared" si="1"/>
        <v/>
      </c>
    </row>
    <row r="41" spans="1:4" ht="35.25" customHeight="1">
      <c r="A41" s="940"/>
      <c r="B41" s="8"/>
      <c r="C41" s="237"/>
      <c r="D41" s="241" t="str">
        <f t="shared" si="1"/>
        <v/>
      </c>
    </row>
    <row r="42" spans="1:4" ht="35.25" customHeight="1">
      <c r="A42" s="940"/>
      <c r="B42" s="8"/>
      <c r="C42" s="237"/>
      <c r="D42" s="241" t="str">
        <f t="shared" si="1"/>
        <v/>
      </c>
    </row>
    <row r="43" spans="1:4" ht="35.25" customHeight="1">
      <c r="A43" s="940"/>
      <c r="B43" s="8"/>
      <c r="C43" s="237"/>
      <c r="D43" s="241" t="str">
        <f t="shared" si="1"/>
        <v/>
      </c>
    </row>
    <row r="44" spans="1:4" ht="35.25" customHeight="1">
      <c r="A44" s="940"/>
      <c r="B44" s="8"/>
      <c r="C44" s="237"/>
      <c r="D44" s="241" t="str">
        <f t="shared" si="1"/>
        <v/>
      </c>
    </row>
    <row r="45" spans="1:4" ht="35.25" customHeight="1">
      <c r="A45" s="940"/>
      <c r="B45" s="8"/>
      <c r="C45" s="237"/>
      <c r="D45" s="241" t="str">
        <f t="shared" si="1"/>
        <v/>
      </c>
    </row>
    <row r="46" spans="1:4" ht="35.25" customHeight="1">
      <c r="A46" s="940"/>
      <c r="B46" s="8"/>
      <c r="C46" s="237"/>
      <c r="D46" s="241" t="str">
        <f t="shared" si="1"/>
        <v/>
      </c>
    </row>
    <row r="47" spans="1:4" ht="35.25" customHeight="1">
      <c r="A47" s="940"/>
      <c r="B47" s="8"/>
      <c r="C47" s="237"/>
      <c r="D47" s="241" t="str">
        <f t="shared" si="1"/>
        <v/>
      </c>
    </row>
    <row r="48" spans="1:4" ht="35.25" customHeight="1">
      <c r="A48" s="940"/>
      <c r="B48" s="8"/>
      <c r="C48" s="237"/>
      <c r="D48" s="241" t="str">
        <f t="shared" si="1"/>
        <v/>
      </c>
    </row>
    <row r="49" spans="1:4" ht="35.25" customHeight="1">
      <c r="A49" s="940"/>
      <c r="B49" s="8"/>
      <c r="C49" s="237"/>
      <c r="D49" s="241" t="str">
        <f t="shared" si="1"/>
        <v/>
      </c>
    </row>
    <row r="50" spans="1:4" ht="35.25" customHeight="1">
      <c r="A50" s="940"/>
      <c r="B50" s="8"/>
      <c r="C50" s="237"/>
      <c r="D50" s="241" t="str">
        <f t="shared" si="1"/>
        <v/>
      </c>
    </row>
    <row r="51" spans="1:4" ht="35.25" customHeight="1">
      <c r="A51" s="940"/>
      <c r="B51" s="8"/>
      <c r="C51" s="237"/>
      <c r="D51" s="241" t="str">
        <f t="shared" si="1"/>
        <v/>
      </c>
    </row>
    <row r="52" spans="1:4" ht="35.25" customHeight="1">
      <c r="A52" s="940"/>
      <c r="B52" s="8"/>
      <c r="C52" s="237"/>
      <c r="D52" s="241" t="str">
        <f t="shared" si="1"/>
        <v/>
      </c>
    </row>
    <row r="53" spans="1:4" ht="35.25" customHeight="1">
      <c r="A53" s="940"/>
      <c r="B53" s="8"/>
      <c r="C53" s="237"/>
      <c r="D53" s="241" t="str">
        <f t="shared" si="1"/>
        <v/>
      </c>
    </row>
    <row r="54" spans="1:4" ht="35.25" customHeight="1">
      <c r="A54" s="940"/>
      <c r="B54" s="8"/>
      <c r="C54" s="237"/>
      <c r="D54" s="241" t="str">
        <f t="shared" si="1"/>
        <v/>
      </c>
    </row>
    <row r="55" spans="1:4" ht="35.25" customHeight="1">
      <c r="A55" s="940"/>
      <c r="B55" s="8"/>
      <c r="C55" s="237"/>
      <c r="D55" s="241" t="str">
        <f t="shared" si="1"/>
        <v/>
      </c>
    </row>
    <row r="56" spans="1:4" ht="35.25" customHeight="1">
      <c r="A56" s="940"/>
      <c r="B56" s="8"/>
      <c r="C56" s="237"/>
      <c r="D56" s="241" t="str">
        <f t="shared" si="1"/>
        <v/>
      </c>
    </row>
    <row r="57" spans="1:4" ht="35.25" customHeight="1">
      <c r="A57" s="940"/>
      <c r="B57" s="8"/>
      <c r="C57" s="237"/>
      <c r="D57" s="241" t="str">
        <f t="shared" si="1"/>
        <v/>
      </c>
    </row>
    <row r="58" spans="1:4" ht="35.25" customHeight="1">
      <c r="A58" s="940"/>
      <c r="B58" s="8"/>
      <c r="C58" s="237"/>
      <c r="D58" s="241" t="str">
        <f t="shared" si="1"/>
        <v/>
      </c>
    </row>
    <row r="59" spans="1:4" ht="35.25" customHeight="1">
      <c r="A59" s="940"/>
      <c r="B59" s="8"/>
      <c r="C59" s="237"/>
      <c r="D59" s="241" t="str">
        <f t="shared" si="1"/>
        <v/>
      </c>
    </row>
    <row r="60" spans="1:4" ht="35.25" customHeight="1">
      <c r="A60" s="940"/>
      <c r="B60" s="8"/>
      <c r="C60" s="237"/>
      <c r="D60" s="241" t="str">
        <f t="shared" si="1"/>
        <v/>
      </c>
    </row>
    <row r="61" spans="1:4" ht="35.25" customHeight="1">
      <c r="A61" s="940"/>
      <c r="B61" s="8"/>
      <c r="C61" s="237"/>
      <c r="D61" s="241" t="str">
        <f t="shared" si="1"/>
        <v/>
      </c>
    </row>
    <row r="62" spans="1:4" ht="35.25" customHeight="1">
      <c r="A62" s="940"/>
      <c r="B62" s="8"/>
      <c r="C62" s="237"/>
      <c r="D62" s="241" t="str">
        <f t="shared" si="1"/>
        <v/>
      </c>
    </row>
    <row r="63" spans="1:4" ht="35.25" customHeight="1">
      <c r="A63" s="940"/>
      <c r="B63" s="8"/>
      <c r="C63" s="237"/>
      <c r="D63" s="241" t="str">
        <f t="shared" si="1"/>
        <v/>
      </c>
    </row>
    <row r="64" spans="1:4" ht="35.25" customHeight="1">
      <c r="A64" s="940"/>
      <c r="B64" s="8"/>
      <c r="C64" s="237"/>
      <c r="D64" s="241" t="str">
        <f t="shared" si="1"/>
        <v/>
      </c>
    </row>
    <row r="65" spans="1:4" ht="35.25" customHeight="1">
      <c r="A65" s="940"/>
      <c r="B65" s="8"/>
      <c r="C65" s="237"/>
      <c r="D65" s="241" t="str">
        <f t="shared" si="1"/>
        <v/>
      </c>
    </row>
    <row r="66" spans="1:4" ht="35.25" customHeight="1">
      <c r="A66" s="940"/>
      <c r="B66" s="8"/>
      <c r="C66" s="237"/>
      <c r="D66" s="241" t="str">
        <f t="shared" si="1"/>
        <v/>
      </c>
    </row>
    <row r="67" spans="1:4" ht="35.25" customHeight="1">
      <c r="A67" s="940"/>
      <c r="B67" s="8"/>
      <c r="C67" s="237"/>
      <c r="D67" s="241" t="str">
        <f t="shared" si="1"/>
        <v/>
      </c>
    </row>
    <row r="68" spans="1:4" ht="35.25" customHeight="1">
      <c r="A68" s="940"/>
      <c r="B68" s="8"/>
      <c r="C68" s="237"/>
      <c r="D68" s="241" t="str">
        <f t="shared" ref="D68:D99" si="2">IF(OR(C68="1-Investissements",C68="2-Frais généraux",C68="3-Contributions en nature",C68="4-Amortissement"),"Au réel",IF(OR(C68="5-Tx forf personnel+autoconst",C68="6-Coût unitaire bananes",C68="7-Coût unitaire cannes à sucre"),"OCS",""))</f>
        <v/>
      </c>
    </row>
    <row r="69" spans="1:4" ht="35.25" customHeight="1">
      <c r="A69" s="940"/>
      <c r="B69" s="8"/>
      <c r="C69" s="237"/>
      <c r="D69" s="241" t="str">
        <f t="shared" si="2"/>
        <v/>
      </c>
    </row>
    <row r="70" spans="1:4" ht="35.25" customHeight="1">
      <c r="A70" s="940"/>
      <c r="B70" s="8"/>
      <c r="C70" s="237"/>
      <c r="D70" s="241" t="str">
        <f t="shared" si="2"/>
        <v/>
      </c>
    </row>
    <row r="71" spans="1:4" ht="35.25" customHeight="1">
      <c r="A71" s="940"/>
      <c r="B71" s="8"/>
      <c r="C71" s="237"/>
      <c r="D71" s="241" t="str">
        <f t="shared" si="2"/>
        <v/>
      </c>
    </row>
    <row r="72" spans="1:4" ht="35.25" customHeight="1">
      <c r="A72" s="940"/>
      <c r="B72" s="8"/>
      <c r="C72" s="237"/>
      <c r="D72" s="241" t="str">
        <f t="shared" si="2"/>
        <v/>
      </c>
    </row>
    <row r="73" spans="1:4" ht="35.25" customHeight="1">
      <c r="A73" s="940"/>
      <c r="B73" s="8"/>
      <c r="C73" s="237"/>
      <c r="D73" s="241" t="str">
        <f t="shared" si="2"/>
        <v/>
      </c>
    </row>
    <row r="74" spans="1:4" ht="35.25" customHeight="1">
      <c r="A74" s="940"/>
      <c r="B74" s="8"/>
      <c r="C74" s="237"/>
      <c r="D74" s="241" t="str">
        <f t="shared" si="2"/>
        <v/>
      </c>
    </row>
    <row r="75" spans="1:4" ht="35.25" customHeight="1">
      <c r="A75" s="940"/>
      <c r="B75" s="8"/>
      <c r="C75" s="237"/>
      <c r="D75" s="241" t="str">
        <f t="shared" si="2"/>
        <v/>
      </c>
    </row>
    <row r="76" spans="1:4" ht="35.25" customHeight="1">
      <c r="A76" s="940"/>
      <c r="B76" s="8"/>
      <c r="C76" s="237"/>
      <c r="D76" s="241" t="str">
        <f t="shared" si="2"/>
        <v/>
      </c>
    </row>
    <row r="77" spans="1:4" ht="35.25" customHeight="1">
      <c r="A77" s="940"/>
      <c r="B77" s="8"/>
      <c r="C77" s="237"/>
      <c r="D77" s="241" t="str">
        <f t="shared" si="2"/>
        <v/>
      </c>
    </row>
    <row r="78" spans="1:4" ht="35.25" customHeight="1">
      <c r="A78" s="940"/>
      <c r="B78" s="8"/>
      <c r="C78" s="237"/>
      <c r="D78" s="241" t="str">
        <f t="shared" si="2"/>
        <v/>
      </c>
    </row>
    <row r="79" spans="1:4" ht="35.25" customHeight="1">
      <c r="A79" s="940"/>
      <c r="B79" s="8"/>
      <c r="C79" s="237"/>
      <c r="D79" s="241" t="str">
        <f t="shared" si="2"/>
        <v/>
      </c>
    </row>
    <row r="80" spans="1:4" ht="35.25" customHeight="1">
      <c r="A80" s="940"/>
      <c r="B80" s="8"/>
      <c r="C80" s="237"/>
      <c r="D80" s="241" t="str">
        <f t="shared" si="2"/>
        <v/>
      </c>
    </row>
    <row r="81" spans="1:4" ht="35.25" customHeight="1">
      <c r="A81" s="940"/>
      <c r="B81" s="8"/>
      <c r="C81" s="237"/>
      <c r="D81" s="241" t="str">
        <f t="shared" si="2"/>
        <v/>
      </c>
    </row>
    <row r="82" spans="1:4" ht="35.25" customHeight="1">
      <c r="A82" s="940"/>
      <c r="B82" s="8"/>
      <c r="C82" s="237"/>
      <c r="D82" s="241" t="str">
        <f t="shared" si="2"/>
        <v/>
      </c>
    </row>
    <row r="83" spans="1:4" ht="35.25" customHeight="1">
      <c r="A83" s="940"/>
      <c r="B83" s="8"/>
      <c r="C83" s="237"/>
      <c r="D83" s="241" t="str">
        <f t="shared" si="2"/>
        <v/>
      </c>
    </row>
    <row r="84" spans="1:4" ht="35.25" customHeight="1">
      <c r="A84" s="940"/>
      <c r="B84" s="8"/>
      <c r="C84" s="237"/>
      <c r="D84" s="241" t="str">
        <f t="shared" si="2"/>
        <v/>
      </c>
    </row>
    <row r="85" spans="1:4" ht="35.25" customHeight="1">
      <c r="A85" s="940"/>
      <c r="B85" s="8"/>
      <c r="C85" s="237"/>
      <c r="D85" s="241" t="str">
        <f t="shared" si="2"/>
        <v/>
      </c>
    </row>
    <row r="86" spans="1:4" ht="35.25" customHeight="1">
      <c r="A86" s="940"/>
      <c r="B86" s="8"/>
      <c r="C86" s="237"/>
      <c r="D86" s="241" t="str">
        <f t="shared" si="2"/>
        <v/>
      </c>
    </row>
    <row r="87" spans="1:4" ht="35.25" customHeight="1">
      <c r="A87" s="940"/>
      <c r="B87" s="8"/>
      <c r="C87" s="237"/>
      <c r="D87" s="241" t="str">
        <f t="shared" si="2"/>
        <v/>
      </c>
    </row>
    <row r="88" spans="1:4" ht="35.25" customHeight="1">
      <c r="A88" s="940"/>
      <c r="B88" s="8"/>
      <c r="C88" s="237"/>
      <c r="D88" s="241" t="str">
        <f t="shared" si="2"/>
        <v/>
      </c>
    </row>
    <row r="89" spans="1:4" ht="35.25" customHeight="1">
      <c r="A89" s="940"/>
      <c r="B89" s="8"/>
      <c r="C89" s="237"/>
      <c r="D89" s="241" t="str">
        <f t="shared" si="2"/>
        <v/>
      </c>
    </row>
    <row r="90" spans="1:4" ht="35.25" customHeight="1">
      <c r="A90" s="940"/>
      <c r="B90" s="8"/>
      <c r="C90" s="237"/>
      <c r="D90" s="241" t="str">
        <f t="shared" si="2"/>
        <v/>
      </c>
    </row>
    <row r="91" spans="1:4" ht="35.25" customHeight="1">
      <c r="A91" s="940"/>
      <c r="B91" s="8"/>
      <c r="C91" s="237"/>
      <c r="D91" s="241" t="str">
        <f t="shared" si="2"/>
        <v/>
      </c>
    </row>
    <row r="92" spans="1:4" ht="35.25" customHeight="1">
      <c r="A92" s="940"/>
      <c r="B92" s="8"/>
      <c r="C92" s="237"/>
      <c r="D92" s="241" t="str">
        <f t="shared" si="2"/>
        <v/>
      </c>
    </row>
    <row r="93" spans="1:4" ht="35.25" customHeight="1">
      <c r="A93" s="940"/>
      <c r="B93" s="8"/>
      <c r="C93" s="237"/>
      <c r="D93" s="241" t="str">
        <f t="shared" si="2"/>
        <v/>
      </c>
    </row>
    <row r="94" spans="1:4" ht="35.25" customHeight="1">
      <c r="A94" s="940"/>
      <c r="B94" s="8"/>
      <c r="C94" s="237"/>
      <c r="D94" s="241" t="str">
        <f t="shared" si="2"/>
        <v/>
      </c>
    </row>
    <row r="95" spans="1:4" ht="35.25" customHeight="1">
      <c r="A95" s="940"/>
      <c r="B95" s="8"/>
      <c r="C95" s="237"/>
      <c r="D95" s="241" t="str">
        <f t="shared" si="2"/>
        <v/>
      </c>
    </row>
    <row r="96" spans="1:4" ht="35.25" customHeight="1">
      <c r="A96" s="940"/>
      <c r="B96" s="8"/>
      <c r="C96" s="237"/>
      <c r="D96" s="241" t="str">
        <f t="shared" si="2"/>
        <v/>
      </c>
    </row>
    <row r="97" spans="1:4" ht="35.25" customHeight="1">
      <c r="A97" s="940"/>
      <c r="B97" s="8"/>
      <c r="C97" s="237"/>
      <c r="D97" s="241" t="str">
        <f t="shared" si="2"/>
        <v/>
      </c>
    </row>
    <row r="98" spans="1:4" ht="35.25" customHeight="1">
      <c r="A98" s="940"/>
      <c r="B98" s="8"/>
      <c r="C98" s="237"/>
      <c r="D98" s="241" t="str">
        <f t="shared" si="2"/>
        <v/>
      </c>
    </row>
    <row r="99" spans="1:4" ht="35.25" customHeight="1">
      <c r="A99" s="940"/>
      <c r="B99" s="8"/>
      <c r="C99" s="237"/>
      <c r="D99" s="241" t="str">
        <f t="shared" si="2"/>
        <v/>
      </c>
    </row>
    <row r="100" spans="1:4" ht="35.25" customHeight="1">
      <c r="A100" s="940"/>
      <c r="B100" s="8"/>
      <c r="C100" s="237"/>
      <c r="D100" s="241" t="str">
        <f t="shared" ref="D100:D104" si="3">IF(OR(C100="1-Investissements",C100="2-Frais généraux",C100="3-Contributions en nature",C100="4-Amortissement"),"Au réel",IF(OR(C100="5-Tx forf personnel+autoconst",C100="6-Coût unitaire bananes",C100="7-Coût unitaire cannes à sucre"),"OCS",""))</f>
        <v/>
      </c>
    </row>
    <row r="101" spans="1:4" ht="35.25" customHeight="1">
      <c r="A101" s="940"/>
      <c r="B101" s="8"/>
      <c r="C101" s="237"/>
      <c r="D101" s="241" t="str">
        <f t="shared" si="3"/>
        <v/>
      </c>
    </row>
    <row r="102" spans="1:4" ht="35.25" customHeight="1">
      <c r="A102" s="940"/>
      <c r="B102" s="8"/>
      <c r="C102" s="237"/>
      <c r="D102" s="241" t="str">
        <f t="shared" si="3"/>
        <v/>
      </c>
    </row>
    <row r="103" spans="1:4" ht="35.25" customHeight="1">
      <c r="A103" s="940"/>
      <c r="B103" s="8"/>
      <c r="C103" s="237"/>
      <c r="D103" s="241" t="str">
        <f t="shared" si="3"/>
        <v/>
      </c>
    </row>
    <row r="104" spans="1:4" ht="35.25" customHeight="1" thickBot="1">
      <c r="A104" s="941"/>
      <c r="B104" s="20"/>
      <c r="C104" s="238"/>
      <c r="D104" s="242" t="str">
        <f t="shared" si="3"/>
        <v/>
      </c>
    </row>
  </sheetData>
  <sheetProtection algorithmName="SHA-512" hashValue="XOKiGv1RG510bDVKb+SLc0c61ZqLh/w8b7gfRThgtuKLbI7K65Ko0mDTw9MzXSZezt0YYklvjehDrWDeZARWLg==" saltValue="Gb2we7W04l9tcVNKTqq/kQ==" spinCount="100000" sheet="1" formatCells="0" formatColumns="0" formatRows="0" insertColumns="0" insertRows="0" insertHyperlinks="0" deleteColumns="0" deleteRows="0" sort="0" autoFilter="0" pivotTables="0"/>
  <mergeCells count="4">
    <mergeCell ref="A4:A12"/>
    <mergeCell ref="A17:A104"/>
    <mergeCell ref="A13:A16"/>
    <mergeCell ref="B2:D2"/>
  </mergeCells>
  <phoneticPr fontId="11" type="noConversion"/>
  <dataValidations count="2">
    <dataValidation type="list" allowBlank="1" showErrorMessage="1" promptTitle="Sélectionnez un type d'action" sqref="B13:B104" xr:uid="{731B1B30-AE19-4EB9-A38C-2D8AA361424A}">
      <formula1>$H$4:$H$12</formula1>
    </dataValidation>
    <dataValidation type="list" allowBlank="1" showInputMessage="1" showErrorMessage="1" sqref="C4:C104" xr:uid="{62147EB2-21F4-471A-A88F-C793309CE411}">
      <formula1>"1-Investissements,2-Frais généraux,3-Contributions en nature,4-Amortissement,5-Tx forf personnel+autoconst,6-Coût unitaire bananes,7-Coût unitaire cannes à sucre"</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0F0E1-815E-4FF2-8657-3C200213D6F4}">
  <sheetPr>
    <pageSetUpPr fitToPage="1"/>
  </sheetPr>
  <dimension ref="A1:BS109"/>
  <sheetViews>
    <sheetView showGridLines="0" tabSelected="1" topLeftCell="V3" zoomScale="82" zoomScaleNormal="61" workbookViewId="0">
      <selection activeCell="G14" sqref="G14"/>
    </sheetView>
  </sheetViews>
  <sheetFormatPr defaultColWidth="11.42578125" defaultRowHeight="15" outlineLevelCol="1"/>
  <cols>
    <col min="1" max="1" width="12.42578125" bestFit="1" customWidth="1"/>
    <col min="2" max="2" width="27.140625" customWidth="1"/>
    <col min="3" max="3" width="47" customWidth="1"/>
    <col min="4" max="4" width="28.42578125" customWidth="1"/>
    <col min="5" max="6" width="31.85546875" customWidth="1"/>
    <col min="7" max="7" width="21" customWidth="1"/>
    <col min="8" max="8" width="28.85546875" customWidth="1"/>
    <col min="9" max="9" width="19.42578125" customWidth="1"/>
    <col min="10" max="10" width="25" customWidth="1"/>
    <col min="11" max="11" width="22.42578125" customWidth="1"/>
    <col min="12" max="12" width="27.42578125" customWidth="1"/>
    <col min="13" max="13" width="27" customWidth="1"/>
    <col min="14" max="14" width="19.42578125" customWidth="1"/>
    <col min="15" max="15" width="20.85546875" customWidth="1"/>
    <col min="16" max="16" width="19.85546875" customWidth="1"/>
    <col min="17" max="17" width="27.42578125" customWidth="1"/>
    <col min="18" max="18" width="27" customWidth="1"/>
    <col min="19" max="19" width="21.140625" customWidth="1"/>
    <col min="20" max="20" width="20.85546875" customWidth="1"/>
    <col min="21" max="21" width="20.42578125" customWidth="1"/>
    <col min="22" max="22" width="27.42578125" customWidth="1"/>
    <col min="23" max="23" width="27" customWidth="1"/>
    <col min="24" max="24" width="21.140625" customWidth="1"/>
    <col min="25" max="25" width="21.42578125" customWidth="1"/>
    <col min="26" max="26" width="20.42578125" customWidth="1"/>
    <col min="27" max="27" width="17.85546875" customWidth="1"/>
    <col min="28" max="28" width="17.42578125" customWidth="1"/>
    <col min="29" max="30" width="18.140625" customWidth="1"/>
    <col min="31" max="31" width="49.42578125" customWidth="1"/>
    <col min="32" max="33" width="27.42578125" customWidth="1" outlineLevel="1"/>
    <col min="34" max="34" width="27.42578125" style="322" customWidth="1" outlineLevel="1"/>
    <col min="35" max="36" width="27.42578125" customWidth="1" outlineLevel="1"/>
    <col min="37" max="39" width="19.85546875" customWidth="1" outlineLevel="1"/>
    <col min="40" max="40" width="25" customWidth="1" outlineLevel="1"/>
    <col min="41" max="43" width="22.42578125" customWidth="1" outlineLevel="1"/>
    <col min="44" max="45" width="19.85546875" style="748" customWidth="1" outlineLevel="1"/>
    <col min="46" max="48" width="19.140625" customWidth="1" outlineLevel="1"/>
    <col min="49" max="56" width="20.42578125" customWidth="1" outlineLevel="1"/>
    <col min="57" max="57" width="19.85546875" customWidth="1" outlineLevel="1"/>
    <col min="58" max="58" width="24.42578125" customWidth="1" outlineLevel="1"/>
    <col min="59" max="59" width="35.85546875" customWidth="1" outlineLevel="1"/>
    <col min="60" max="60" width="27.42578125" customWidth="1" outlineLevel="1"/>
    <col min="61" max="64" width="25" customWidth="1" outlineLevel="1"/>
    <col min="65" max="65" width="43.140625" customWidth="1" outlineLevel="1"/>
    <col min="66" max="66" width="45.85546875" customWidth="1" outlineLevel="1"/>
    <col min="67" max="67" width="43.140625" customWidth="1" outlineLevel="1"/>
    <col min="68" max="68" width="17.42578125" customWidth="1" outlineLevel="1"/>
    <col min="69" max="70" width="19.85546875" customWidth="1" outlineLevel="1"/>
  </cols>
  <sheetData>
    <row r="1" spans="1:71" ht="15.95" thickBot="1"/>
    <row r="2" spans="1:71" ht="34.5" customHeight="1" thickBot="1">
      <c r="C2" s="903" t="s">
        <v>47</v>
      </c>
      <c r="D2" s="904"/>
      <c r="E2" s="904"/>
      <c r="F2" s="904"/>
      <c r="G2" s="904"/>
      <c r="H2" s="905"/>
    </row>
    <row r="3" spans="1:71" ht="117.75" customHeight="1" thickBot="1">
      <c r="C3" s="906" t="s">
        <v>48</v>
      </c>
      <c r="D3" s="907"/>
      <c r="E3" s="907"/>
      <c r="F3" s="907"/>
      <c r="G3" s="907"/>
      <c r="H3" s="908"/>
    </row>
    <row r="4" spans="1:71" ht="65.25" customHeight="1" thickBot="1"/>
    <row r="5" spans="1:71" ht="71.25" customHeight="1" thickBot="1">
      <c r="A5" s="666" t="s">
        <v>49</v>
      </c>
      <c r="B5" s="667"/>
      <c r="C5" s="667"/>
      <c r="D5" s="667"/>
      <c r="E5" s="667"/>
      <c r="F5" s="667"/>
      <c r="G5" s="667"/>
      <c r="H5" s="667"/>
      <c r="I5" s="667"/>
      <c r="J5" s="667"/>
      <c r="K5" s="667"/>
      <c r="L5" s="668"/>
      <c r="M5" s="668"/>
      <c r="N5" s="668"/>
      <c r="O5" s="668"/>
      <c r="P5" s="668"/>
      <c r="Q5" s="668"/>
      <c r="R5" s="668"/>
      <c r="S5" s="668"/>
      <c r="T5" s="668"/>
      <c r="U5" s="668"/>
      <c r="V5" s="668"/>
      <c r="W5" s="668"/>
      <c r="X5" s="668"/>
      <c r="Y5" s="668"/>
      <c r="Z5" s="668"/>
      <c r="AA5" s="667"/>
      <c r="AB5" s="668"/>
      <c r="AC5" s="668"/>
      <c r="AD5" s="668"/>
      <c r="AE5" s="669"/>
      <c r="AF5" s="909" t="s">
        <v>50</v>
      </c>
      <c r="AG5" s="909"/>
      <c r="AH5" s="909"/>
      <c r="AI5" s="909"/>
      <c r="AJ5" s="909"/>
      <c r="AK5" s="909"/>
      <c r="AL5" s="909"/>
      <c r="AM5" s="909"/>
      <c r="AN5" s="909"/>
      <c r="AO5" s="909"/>
      <c r="AP5" s="910"/>
      <c r="AQ5" s="910"/>
      <c r="AR5" s="910"/>
      <c r="AS5" s="910"/>
      <c r="AT5" s="910"/>
      <c r="AU5" s="910"/>
      <c r="AV5" s="910"/>
      <c r="AW5" s="910"/>
      <c r="AX5" s="910"/>
      <c r="AY5" s="910"/>
      <c r="AZ5" s="910"/>
      <c r="BA5" s="910"/>
      <c r="BB5" s="910"/>
      <c r="BC5" s="910"/>
      <c r="BD5" s="910"/>
      <c r="BE5" s="909"/>
      <c r="BF5" s="909"/>
      <c r="BG5" s="909"/>
      <c r="BH5" s="909"/>
      <c r="BI5" s="909"/>
      <c r="BJ5" s="909"/>
      <c r="BK5" s="909"/>
      <c r="BL5" s="909"/>
      <c r="BM5" s="909"/>
      <c r="BN5" s="909"/>
      <c r="BO5" s="909"/>
      <c r="BP5" s="909"/>
      <c r="BQ5" s="909"/>
      <c r="BR5" s="911"/>
    </row>
    <row r="6" spans="1:71" s="78" customFormat="1" ht="122.45" customHeight="1" thickBot="1">
      <c r="A6" s="912" t="s">
        <v>51</v>
      </c>
      <c r="B6" s="41" t="s">
        <v>52</v>
      </c>
      <c r="C6" s="41" t="s">
        <v>53</v>
      </c>
      <c r="D6" s="41" t="s">
        <v>54</v>
      </c>
      <c r="E6" s="41" t="s">
        <v>55</v>
      </c>
      <c r="F6" s="858" t="s">
        <v>56</v>
      </c>
      <c r="G6" s="41" t="s">
        <v>57</v>
      </c>
      <c r="H6" s="41" t="s">
        <v>58</v>
      </c>
      <c r="I6" s="41" t="s">
        <v>59</v>
      </c>
      <c r="J6" s="41" t="s">
        <v>60</v>
      </c>
      <c r="K6" s="73" t="s">
        <v>61</v>
      </c>
      <c r="L6" s="673" t="s">
        <v>62</v>
      </c>
      <c r="M6" s="674" t="s">
        <v>63</v>
      </c>
      <c r="N6" s="675" t="s">
        <v>64</v>
      </c>
      <c r="O6" s="674" t="s">
        <v>65</v>
      </c>
      <c r="P6" s="686" t="s">
        <v>66</v>
      </c>
      <c r="Q6" s="688" t="s">
        <v>67</v>
      </c>
      <c r="R6" s="714" t="s">
        <v>68</v>
      </c>
      <c r="S6" s="715" t="s">
        <v>69</v>
      </c>
      <c r="T6" s="689" t="s">
        <v>70</v>
      </c>
      <c r="U6" s="692" t="s">
        <v>71</v>
      </c>
      <c r="V6" s="123" t="s">
        <v>67</v>
      </c>
      <c r="W6" s="716" t="s">
        <v>72</v>
      </c>
      <c r="X6" s="717" t="s">
        <v>73</v>
      </c>
      <c r="Y6" s="124" t="s">
        <v>74</v>
      </c>
      <c r="Z6" s="125" t="s">
        <v>75</v>
      </c>
      <c r="AA6" s="74" t="s">
        <v>76</v>
      </c>
      <c r="AB6" s="243" t="s">
        <v>77</v>
      </c>
      <c r="AC6" s="244" t="s">
        <v>78</v>
      </c>
      <c r="AD6" s="245" t="s">
        <v>79</v>
      </c>
      <c r="AE6" s="75" t="s">
        <v>80</v>
      </c>
      <c r="AF6" s="76" t="s">
        <v>52</v>
      </c>
      <c r="AG6" s="31" t="s">
        <v>53</v>
      </c>
      <c r="AH6" s="882" t="s">
        <v>54</v>
      </c>
      <c r="AI6" s="31" t="s">
        <v>55</v>
      </c>
      <c r="AJ6" s="860" t="s">
        <v>56</v>
      </c>
      <c r="AK6" s="31" t="s">
        <v>57</v>
      </c>
      <c r="AL6" s="31" t="s">
        <v>58</v>
      </c>
      <c r="AM6" s="31" t="s">
        <v>81</v>
      </c>
      <c r="AN6" s="31" t="s">
        <v>60</v>
      </c>
      <c r="AO6" s="77" t="s">
        <v>61</v>
      </c>
      <c r="AP6" s="722" t="s">
        <v>62</v>
      </c>
      <c r="AQ6" s="730" t="s">
        <v>63</v>
      </c>
      <c r="AR6" s="749" t="s">
        <v>64</v>
      </c>
      <c r="AS6" s="750" t="s">
        <v>65</v>
      </c>
      <c r="AT6" s="723" t="s">
        <v>66</v>
      </c>
      <c r="AU6" s="724" t="s">
        <v>82</v>
      </c>
      <c r="AV6" s="735" t="s">
        <v>68</v>
      </c>
      <c r="AW6" s="736" t="s">
        <v>69</v>
      </c>
      <c r="AX6" s="735" t="s">
        <v>70</v>
      </c>
      <c r="AY6" s="861" t="s">
        <v>71</v>
      </c>
      <c r="AZ6" s="726" t="s">
        <v>82</v>
      </c>
      <c r="BA6" s="725" t="s">
        <v>68</v>
      </c>
      <c r="BB6" s="742" t="s">
        <v>73</v>
      </c>
      <c r="BC6" s="130" t="s">
        <v>74</v>
      </c>
      <c r="BD6" s="131" t="s">
        <v>75</v>
      </c>
      <c r="BE6" s="76" t="s">
        <v>83</v>
      </c>
      <c r="BF6" s="31" t="s">
        <v>84</v>
      </c>
      <c r="BG6" s="31" t="s">
        <v>85</v>
      </c>
      <c r="BH6" s="31" t="s">
        <v>86</v>
      </c>
      <c r="BI6" s="31" t="s">
        <v>87</v>
      </c>
      <c r="BJ6" s="31" t="s">
        <v>88</v>
      </c>
      <c r="BK6" s="31" t="s">
        <v>89</v>
      </c>
      <c r="BL6" s="31" t="s">
        <v>90</v>
      </c>
      <c r="BM6" s="31" t="s">
        <v>91</v>
      </c>
      <c r="BN6" s="31" t="s">
        <v>92</v>
      </c>
      <c r="BO6" s="31" t="s">
        <v>93</v>
      </c>
      <c r="BP6" s="31" t="s">
        <v>94</v>
      </c>
      <c r="BQ6" s="31" t="s">
        <v>95</v>
      </c>
      <c r="BR6" s="211" t="s">
        <v>96</v>
      </c>
    </row>
    <row r="7" spans="1:71" s="1" customFormat="1" ht="209.45" customHeight="1">
      <c r="A7" s="913"/>
      <c r="B7" s="22" t="s">
        <v>97</v>
      </c>
      <c r="C7" s="22" t="s">
        <v>98</v>
      </c>
      <c r="D7" s="22" t="s">
        <v>99</v>
      </c>
      <c r="E7" s="22" t="s">
        <v>100</v>
      </c>
      <c r="F7" s="854" t="s">
        <v>101</v>
      </c>
      <c r="G7" s="854" t="s">
        <v>102</v>
      </c>
      <c r="H7" s="22" t="s">
        <v>103</v>
      </c>
      <c r="I7" s="22" t="s">
        <v>104</v>
      </c>
      <c r="J7" s="22" t="s">
        <v>105</v>
      </c>
      <c r="K7" s="79" t="s">
        <v>106</v>
      </c>
      <c r="L7" s="676" t="s">
        <v>107</v>
      </c>
      <c r="M7" s="22" t="s">
        <v>108</v>
      </c>
      <c r="N7" s="273" t="s">
        <v>109</v>
      </c>
      <c r="O7" s="22" t="s">
        <v>110</v>
      </c>
      <c r="P7" s="79" t="s">
        <v>111</v>
      </c>
      <c r="Q7" s="697" t="s">
        <v>112</v>
      </c>
      <c r="R7" s="700" t="s">
        <v>108</v>
      </c>
      <c r="S7" s="273" t="s">
        <v>113</v>
      </c>
      <c r="T7" s="22" t="s">
        <v>110</v>
      </c>
      <c r="U7" s="79" t="s">
        <v>114</v>
      </c>
      <c r="V7" s="80" t="s">
        <v>112</v>
      </c>
      <c r="W7" s="79" t="s">
        <v>108</v>
      </c>
      <c r="X7" s="700" t="s">
        <v>113</v>
      </c>
      <c r="Y7" s="273" t="s">
        <v>110</v>
      </c>
      <c r="Z7" s="81" t="s">
        <v>114</v>
      </c>
      <c r="AA7" s="82" t="s">
        <v>115</v>
      </c>
      <c r="AB7" s="83" t="s">
        <v>116</v>
      </c>
      <c r="AC7" s="22" t="s">
        <v>116</v>
      </c>
      <c r="AD7" s="84" t="s">
        <v>116</v>
      </c>
      <c r="AE7" s="85" t="s">
        <v>117</v>
      </c>
      <c r="AF7" s="86" t="s">
        <v>118</v>
      </c>
      <c r="AG7" s="86" t="s">
        <v>118</v>
      </c>
      <c r="AH7" s="883" t="s">
        <v>118</v>
      </c>
      <c r="AI7" s="4" t="s">
        <v>118</v>
      </c>
      <c r="AJ7" s="855" t="s">
        <v>118</v>
      </c>
      <c r="AK7" s="855" t="s">
        <v>119</v>
      </c>
      <c r="AL7" s="4" t="s">
        <v>118</v>
      </c>
      <c r="AM7" s="4" t="s">
        <v>118</v>
      </c>
      <c r="AN7" s="4" t="s">
        <v>118</v>
      </c>
      <c r="AO7" s="87" t="s">
        <v>118</v>
      </c>
      <c r="AP7" s="729" t="s">
        <v>118</v>
      </c>
      <c r="AQ7" s="732" t="s">
        <v>118</v>
      </c>
      <c r="AR7" s="751" t="s">
        <v>118</v>
      </c>
      <c r="AS7" s="4" t="s">
        <v>110</v>
      </c>
      <c r="AT7" s="87" t="s">
        <v>111</v>
      </c>
      <c r="AU7" s="734" t="s">
        <v>118</v>
      </c>
      <c r="AV7" s="738" t="s">
        <v>118</v>
      </c>
      <c r="AW7" s="737" t="s">
        <v>118</v>
      </c>
      <c r="AX7" s="4" t="s">
        <v>110</v>
      </c>
      <c r="AY7" s="862" t="s">
        <v>111</v>
      </c>
      <c r="AZ7" s="743" t="s">
        <v>112</v>
      </c>
      <c r="BA7" s="743" t="s">
        <v>108</v>
      </c>
      <c r="BB7" s="86" t="s">
        <v>118</v>
      </c>
      <c r="BC7" s="4" t="s">
        <v>110</v>
      </c>
      <c r="BD7" s="131" t="s">
        <v>111</v>
      </c>
      <c r="BE7" s="86" t="s">
        <v>118</v>
      </c>
      <c r="BF7" s="4" t="s">
        <v>120</v>
      </c>
      <c r="BG7" s="4" t="s">
        <v>121</v>
      </c>
      <c r="BH7" s="4" t="s">
        <v>121</v>
      </c>
      <c r="BI7" s="4" t="s">
        <v>121</v>
      </c>
      <c r="BJ7" s="4" t="s">
        <v>121</v>
      </c>
      <c r="BK7" s="4" t="s">
        <v>121</v>
      </c>
      <c r="BL7" s="855" t="s">
        <v>122</v>
      </c>
      <c r="BM7" s="4" t="s">
        <v>123</v>
      </c>
      <c r="BN7" s="4" t="s">
        <v>124</v>
      </c>
      <c r="BO7" s="4" t="s">
        <v>125</v>
      </c>
      <c r="BP7" s="4" t="s">
        <v>116</v>
      </c>
      <c r="BQ7" s="4" t="s">
        <v>116</v>
      </c>
      <c r="BR7" s="212" t="s">
        <v>116</v>
      </c>
    </row>
    <row r="8" spans="1:71" s="106" customFormat="1" ht="33.950000000000003" customHeight="1">
      <c r="A8" s="213" t="s">
        <v>41</v>
      </c>
      <c r="B8" s="88" t="s">
        <v>126</v>
      </c>
      <c r="C8" s="88" t="s">
        <v>127</v>
      </c>
      <c r="D8" s="89">
        <v>1</v>
      </c>
      <c r="E8" s="5" t="s">
        <v>29</v>
      </c>
      <c r="F8" s="859" t="s">
        <v>127</v>
      </c>
      <c r="G8" s="88" t="s">
        <v>128</v>
      </c>
      <c r="H8" s="88" t="s">
        <v>129</v>
      </c>
      <c r="I8" s="90">
        <v>900</v>
      </c>
      <c r="J8" s="91" t="s">
        <v>130</v>
      </c>
      <c r="K8" s="92">
        <v>1</v>
      </c>
      <c r="L8" s="677" t="s">
        <v>131</v>
      </c>
      <c r="M8" s="137" t="s">
        <v>132</v>
      </c>
      <c r="N8" s="671">
        <v>3900</v>
      </c>
      <c r="O8" s="93">
        <f>N8*0.085</f>
        <v>331.5</v>
      </c>
      <c r="P8" s="94">
        <f>IF(OR(N8="", O8=""), "", IFERROR(VALUE(TRIM(SUBSTITUTE(N8,CHAR(160),""))),0) + IFERROR(VALUE(TRIM(SUBSTITUTE(O8,CHAR(160),""))),0))</f>
        <v>4231.5</v>
      </c>
      <c r="Q8" s="698" t="s">
        <v>133</v>
      </c>
      <c r="R8" s="701" t="s">
        <v>134</v>
      </c>
      <c r="S8" s="683">
        <v>4200</v>
      </c>
      <c r="T8" s="93">
        <f>0.085*S8</f>
        <v>357</v>
      </c>
      <c r="U8" s="94">
        <f>IF(OR(S8="", T8=""), "", IFERROR(VALUE(TRIM(SUBSTITUTE(S8,CHAR(160),""))),0) + IFERROR(VALUE(TRIM(SUBSTITUTE(T8,CHAR(160),""))),0))</f>
        <v>4557</v>
      </c>
      <c r="V8" s="694"/>
      <c r="W8" s="92"/>
      <c r="X8" s="706"/>
      <c r="Y8" s="683"/>
      <c r="Z8" s="95" t="str">
        <f>IF(OR(X8="", Y8=""), "", IFERROR(VALUE(TRIM(SUBSTITUTE(X8,CHAR(160),""))),0) + IFERROR(VALUE(TRIM(SUBSTITUTE(Y8,CHAR(160),""))),0))</f>
        <v/>
      </c>
      <c r="AA8" s="96" t="s">
        <v>135</v>
      </c>
      <c r="AB8" s="286" cm="1">
        <f t="array" ref="AB8">IF((_xlfn.IFS(TRIM(SUBSTITUTE(AA8,CHAR(160),""))="Devis 1",IFERROR(VALUE(TRIM(SUBSTITUTE(N8,CHAR(160),""))),0),TRIM(SUBSTITUTE(AA8,CHAR(160),""))="Devis 2",IFERROR(VALUE(TRIM(SUBSTITUTE(S8,CHAR(160),""))),0),TRIM(SUBSTITUTE(AA8,CHAR(160),""))="Devis 3",IFERROR(VALUE(TRIM(SUBSTITUTE(X8,CHAR(160),""))),0),TRUE,0)*IFERROR(VALUE(TRIM(SUBSTITUTE(D8,CHAR(160),""))),0))=0,"",_xlfn.IFS(TRIM(SUBSTITUTE(AA8,CHAR(160),""))="Devis 1",IFERROR(VALUE(TRIM(SUBSTITUTE(N8,CHAR(160),""))),0),TRIM(SUBSTITUTE(AA8,CHAR(160),""))="Devis 2",IFERROR(VALUE(TRIM(SUBSTITUTE(S8,CHAR(160),""))),0),TRIM(SUBSTITUTE(AA8,CHAR(160),""))="Devis 3",IFERROR(VALUE(TRIM(SUBSTITUTE(X8,CHAR(160),""))),0),TRUE,0)*IFERROR(VALUE(TRIM(SUBSTITUTE(D8,CHAR(160),""))),0))</f>
        <v>3900</v>
      </c>
      <c r="AC8" s="286" cm="1">
        <f t="array" ref="AC8">IF(_xlfn.IFS(TRIM(SUBSTITUTE(AA8,CHAR(160),""))="Devis 1",IFERROR(VALUE(TRIM(SUBSTITUTE(O8,CHAR(160),""))),0),TRIM(SUBSTITUTE(AA8,CHAR(160),""))="Devis 2",IFERROR(VALUE(TRIM(SUBSTITUTE(T8,CHAR(160),""))),0),TRIM(SUBSTITUTE(AA8,CHAR(160),""))="Devis 3",IFERROR(VALUE(TRIM(SUBSTITUTE(Y8,CHAR(160),""))),0),TRUE,0)*IFERROR(VALUE(TRIM(SUBSTITUTE(D8,CHAR(160),""))),0)=0,IF(AB8&lt;&gt;"",0,""),_xlfn.IFS(TRIM(SUBSTITUTE(AA8,CHAR(160),""))="Devis 1",IFERROR(VALUE(TRIM(SUBSTITUTE(O8,CHAR(160),""))),0),TRIM(SUBSTITUTE(AA8,CHAR(160),""))="Devis 2",IFERROR(VALUE(TRIM(SUBSTITUTE(T8,CHAR(160),""))),0),TRIM(SUBSTITUTE(AA8,CHAR(160),""))="Devis 3",IFERROR(VALUE(TRIM(SUBSTITUTE(Y8,CHAR(160),""))),0),TRUE,0)*IFERROR(VALUE(TRIM(SUBSTITUTE(D8,CHAR(160),""))),0))</f>
        <v>331.5</v>
      </c>
      <c r="AD8" s="283">
        <f>IF(OR(AB8="", AC8=""), "", IFERROR(VALUE(TRIM(SUBSTITUTE(AB8,CHAR(160),""))),0) + IFERROR(VALUE(TRIM(SUBSTITUTE(AC8,CHAR(160),""))),0))</f>
        <v>4231.5</v>
      </c>
      <c r="AE8" s="97"/>
      <c r="AF8" s="98" t="str">
        <f t="shared" ref="AF8:AI9" si="0">IF(B8="","",B8)</f>
        <v>Chaînage carré</v>
      </c>
      <c r="AG8" s="98" t="str">
        <f t="shared" si="0"/>
        <v>Non</v>
      </c>
      <c r="AH8" s="884">
        <f t="shared" si="0"/>
        <v>1</v>
      </c>
      <c r="AI8" s="5" t="str">
        <f t="shared" si="0"/>
        <v>Construction / aménagement bâtiments</v>
      </c>
      <c r="AJ8" s="98" t="str">
        <f t="shared" ref="AJ8" si="1">IF(F8="","",F8)</f>
        <v>Non</v>
      </c>
      <c r="AK8" s="5" t="str">
        <f>IF(G8="","",G8)</f>
        <v xml:space="preserve">Pas de marché public </v>
      </c>
      <c r="AL8" s="5" t="str">
        <f>IF(H8="","",H8)</f>
        <v>Non concerné</v>
      </c>
      <c r="AM8" s="100">
        <f>IF(I8="","",I8)</f>
        <v>900</v>
      </c>
      <c r="AN8" s="5" t="str">
        <f>IF(J8="","",J8)</f>
        <v>mètre</v>
      </c>
      <c r="AO8" s="101">
        <f>IF(K8="","",K8)</f>
        <v>1</v>
      </c>
      <c r="AP8" s="752"/>
      <c r="AQ8" s="733"/>
      <c r="AR8" s="194">
        <f>IF(N8="","",N8)</f>
        <v>3900</v>
      </c>
      <c r="AS8" s="731">
        <f>IF(O8="","",O8)</f>
        <v>331.5</v>
      </c>
      <c r="AT8" s="665">
        <f>IF(OR(AR8="", AS8=""), "", IFERROR(VALUE(TRIM(SUBSTITUTE(AR8,CHAR(160),""))),0) + IFERROR(VALUE(TRIM(SUBSTITUTE(AS8,CHAR(160),""))),0))</f>
        <v>4231.5</v>
      </c>
      <c r="AU8" s="753"/>
      <c r="AV8" s="740"/>
      <c r="AW8" s="739">
        <f>IF(S8="","",S8)</f>
        <v>4200</v>
      </c>
      <c r="AX8" s="741">
        <f>IF(T8="","",T8)</f>
        <v>357</v>
      </c>
      <c r="AY8" s="727">
        <f>IF(OR(AW8="",AX8=""),"",IFERROR(VALUE(TRIM(SUBSTITUTE(AW8,CHAR(160),""))),0)+IFERROR(VALUE(TRIM(SUBSTITUTE(AX8,CHAR(160),""))),0))</f>
        <v>4557</v>
      </c>
      <c r="AZ8" s="744"/>
      <c r="BA8" s="744"/>
      <c r="BB8" s="194" t="str">
        <f>IF(X8="","",X8)</f>
        <v/>
      </c>
      <c r="BC8" s="102" t="str">
        <f>IF(Y8="","",Y8)</f>
        <v/>
      </c>
      <c r="BD8" s="103" t="str">
        <f>IF(OR(BB8="",BC8=""),"",IFERROR(VALUE(TRIM(SUBSTITUTE(BB8,CHAR(160),""))),0)+IFERROR(VALUE(TRIM(SUBSTITUTE(BC8,CHAR(160),""))),0))</f>
        <v/>
      </c>
      <c r="BE8" s="98" t="str">
        <f>IF(AA8="","",AA8)</f>
        <v>Devis 1</v>
      </c>
      <c r="BF8" s="5" t="s">
        <v>136</v>
      </c>
      <c r="BG8" s="104">
        <f>IF(AI8="","",
IF(
AND(
IFERROR(VALUE(TRIM(SUBSTITUTE(AR8,CHAR(160),""))),0)=0,
IFERROR(VALUE(TRIM(SUBSTITUTE(AW8,CHAR(160),""))),0)=0,
IFERROR(VALUE(TRIM(SUBSTITUTE(BB8,CHAR(160),""))),0)=0
),
0,
IF(
1.15*
MIN(
IF(IFERROR(VALUE(TRIM(SUBSTITUTE(AR8,CHAR(160),""))),0)=0,1E+30,IFERROR(VALUE(TRIM(SUBSTITUTE(AR8,CHAR(160),""))),0)),
IF(IFERROR(VALUE(TRIM(SUBSTITUTE(AW8,CHAR(160),""))),0)=0,1E+30,IFERROR(VALUE(TRIM(SUBSTITUTE(AW8,CHAR(160),""))),0)),
IF(IFERROR(VALUE(TRIM(SUBSTITUTE(BB8,CHAR(160),""))),0)=0,1E+30,IFERROR(VALUE(TRIM(SUBSTITUTE(BB8,CHAR(160),""))),0))
)
*IFERROR(VALUE(TRIM(SUBSTITUTE(AH8,CHAR(160),""))),0)
=0,
0,
1.15*
MIN(
IF(IFERROR(VALUE(TRIM(SUBSTITUTE(AR8,CHAR(160),""))),0)=0,1E+30,IFERROR(VALUE(TRIM(SUBSTITUTE(AR8,CHAR(160),""))),0)),
IF(IFERROR(VALUE(TRIM(SUBSTITUTE(AW8,CHAR(160),""))),0)=0,1E+30,IFERROR(VALUE(TRIM(SUBSTITUTE(AW8,CHAR(160),""))),0)),
IF(IFERROR(VALUE(TRIM(SUBSTITUTE(BB8,CHAR(160),""))),0)=0,1E+30,IFERROR(VALUE(TRIM(SUBSTITUTE(BB8,CHAR(160),""))),0))
)
*IFERROR(VALUE(TRIM(SUBSTITUTE(AH8,CHAR(160),""))),0)
)
)
)</f>
        <v>4485</v>
      </c>
      <c r="BH8" s="104">
        <f>IF(AI8="","",
IF(
AND(
IFERROR(VALUE(TRIM(SUBSTITUTE(AS8,CHAR(160),""))),0)=0,
IFERROR(VALUE(TRIM(SUBSTITUTE(AX8,CHAR(160),""))),0)=0,
IFERROR(VALUE(TRIM(SUBSTITUTE(BC8,CHAR(160),""))),0)=0
),
0,
IF(
1.15*
MIN(
IF(IFERROR(VALUE(TRIM(SUBSTITUTE(AS8,CHAR(160),""))),0)=0,1E+30,IFERROR(VALUE(TRIM(SUBSTITUTE(AS8,CHAR(160),""))),0)),
IF(IFERROR(VALUE(TRIM(SUBSTITUTE(AX8,CHAR(160),""))),0)=0,1E+30,IFERROR(VALUE(TRIM(SUBSTITUTE(AX8,CHAR(160),""))),0)),
IF(IFERROR(VALUE(TRIM(SUBSTITUTE(BC8,CHAR(160),""))),0)=0,1E+30,IFERROR(VALUE(TRIM(SUBSTITUTE(BC8,CHAR(160),""))),0))
)
*IFERROR(VALUE(TRIM(SUBSTITUTE(AH8,CHAR(160),""))),0)
=0,
0,
1.15*
MIN(
IF(IFERROR(VALUE(TRIM(SUBSTITUTE(AS8,CHAR(160),""))),0)=0,1E+30,IFERROR(VALUE(TRIM(SUBSTITUTE(AS8,CHAR(160),""))),0)),
IF(IFERROR(VALUE(TRIM(SUBSTITUTE(AX8,CHAR(160),""))),0)=0,1E+30,IFERROR(VALUE(TRIM(SUBSTITUTE(AX8,CHAR(160),""))),0)),
IF(IFERROR(VALUE(TRIM(SUBSTITUTE(BC8,CHAR(160),""))),0)=0,1E+30,IFERROR(VALUE(TRIM(SUBSTITUTE(BC8,CHAR(160),""))),0))
)
*IFERROR(VALUE(TRIM(SUBSTITUTE(AH8,CHAR(160),""))),0)
)
)
)</f>
        <v>381.22499999999997</v>
      </c>
      <c r="BI8" s="104">
        <f>IF(BG8="","",BG8+BH8)</f>
        <v>4866.2250000000004</v>
      </c>
      <c r="BJ8" s="881" cm="1">
        <f t="array" ref="BJ8">IF($AH8="","",
_xlfn.IFS(
$BE8="Devis 1",
IF(ISBLANK(AR8),"",IFERROR(VALUE(TRIM(SUBSTITUTE(AR8,CHAR(160),""))),0)*IFERROR(VALUE(TRIM(SUBSTITUTE($AH8,CHAR(160),""))),0)),
$BE8="Devis 2",
IF(ISBLANK(AW8),"",IFERROR(VALUE(TRIM(SUBSTITUTE(AW8,CHAR(160),""))),0)*IFERROR(VALUE(TRIM(SUBSTITUTE($AH8,CHAR(160),""))),0)),
$BE8="Devis 3",
IF(ISBLANK(BB8),"",IFERROR(VALUE(TRIM(SUBSTITUTE(BB8,CHAR(160),""))),0)*IFERROR(VALUE(TRIM(SUBSTITUTE($AH8,CHAR(160),""))),0)),
TRUE,0
)
)</f>
        <v>3900</v>
      </c>
      <c r="BK8" s="881" cm="1">
        <f t="array" ref="BK8">IF($AH8="","",
_xlfn.IFS(
$BE8="Devis 1",
IF(ISBLANK(AS8),"",IFERROR(VALUE(TRIM(SUBSTITUTE(AS8,CHAR(160),""))),0)*IFERROR(VALUE(TRIM(SUBSTITUTE($AH8,CHAR(160),""))),0)),
$BE8="Devis 2",
IF(ISBLANK(AX8),"",IFERROR(VALUE(TRIM(SUBSTITUTE(AX8,CHAR(160),""))),0)*IFERROR(VALUE(TRIM(SUBSTITUTE($AH8,CHAR(160),""))),0)),
$BE8="Devis 3",
IF(ISBLANK(BC8),"",IFERROR(VALUE(TRIM(SUBSTITUTE(BC8,CHAR(160),""))),0)*IFERROR(VALUE(TRIM(SUBSTITUTE($AH8,CHAR(160),""))),0)),
TRUE,0
)
)</f>
        <v>331.5</v>
      </c>
      <c r="BL8" s="105" cm="1">
        <f t="array" ref="BL8">IF($AH8="","",IF(IFERROR(_xlfn.IFS($BE8="Devis 1",IFERROR(VALUE(TRIM(SUBSTITUTE(AT8,CHAR(160),""))),0),$BE8="Devis 2",IFERROR(VALUE(TRIM(SUBSTITUTE(AY8,CHAR(160),""))),0),$BE8="Devis 3",IFERROR(VALUE(TRIM(SUBSTITUTE(BD8,CHAR(160),""))),0)),0)*IFERROR(VALUE(TRIM(SUBSTITUTE($AH8,CHAR(160),""))),0)=0,"",IFERROR(_xlfn.IFS($BE8="Devis 1",IFERROR(VALUE(TRIM(SUBSTITUTE(AT8,CHAR(160),""))),0),$BE8="Devis 2",IFERROR(VALUE(TRIM(SUBSTITUTE(AY8,CHAR(160),""))),0),$BE8="Devis 3",IFERROR(VALUE(TRIM(SUBSTITUTE(BD8,CHAR(160),""))),0)),0)*IFERROR(VALUE(TRIM(SUBSTITUTE($AH8,CHAR(160),""))),0)))</f>
        <v>4231.5</v>
      </c>
      <c r="BM8" s="5"/>
      <c r="BN8" s="23" t="str" cm="1">
        <f t="array" ref="BN8">IF(OR(BL8="",BI8="",BJ8="",BG8="",BK8="",BH8=""),"",_xlfn.IFS(
ROUND(IFERROR(VALUE(TRIM(SUBSTITUTE(BL8,CHAR(160),""))),0),2)&gt;
ROUND(IFERROR(VALUE(TRIM(SUBSTITUTE(BI8,CHAR(160),""))),0),2),
"KO : Le montant retenu TTC est supérieur au montant raisonnable TTC. Merci de revoir la ligne de dépense ou plafonner son montant.",
ROUND(IFERROR(VALUE(TRIM(SUBSTITUTE(BJ8,CHAR(160),""))),0),2)&gt;
ROUND(IFERROR(VALUE(TRIM(SUBSTITUTE(BG8,CHAR(160),""))),0),2),
"Attention : Le montant retenu HT est supérieur au montant HT raisonnable. Merci de revoir la ligne de dépense, plafonner son montant, ou justifier la reventillation HT / TVA.",
ROUND(IFERROR(VALUE(TRIM(SUBSTITUTE(BK8,CHAR(160),""))),0),2)&gt;
ROUND(IFERROR(VALUE(TRIM(SUBSTITUTE(BH8,CHAR(160),""))),0),2),
"Attention : Le montant TVA retenu est supérieur au montant TVA raisonnable. Merci de revoir la ligne de dépense, plafonner son montant, ou justifier la reventillation HT / TVA.",
ROUND(IFERROR(VALUE(TRIM(SUBSTITUTE(BL8,CHAR(160),""))),0),2)&gt;
ROUND(IFERROR(VALUE(TRIM(SUBSTITUTE(MIN(P8,U8,Z8),CHAR(160),""))),0),2),
"Attention : Le devis retenu n'est pas le moins cher. Une justification de la part du porteur est nécessaire.",
ROUND(IFERROR(VALUE(TRIM(SUBSTITUTE(BL8,CHAR(160),""))),0),2)=0,
"Attention : montant présenté entièrement écarté",
ROUND(IFERROR(VALUE(TRIM(SUBSTITUTE(BI8,CHAR(160),""))),0),2)=
ROUND(IFERROR(VALUE(TRIM(SUBSTITUTE(BL8,CHAR(160),""))),0),2),
"OK",
ROUND(IFERROR(VALUE(TRIM(SUBSTITUTE(BI8,CHAR(160),""))),0),2)&gt;
ROUND(IFERROR(VALUE(TRIM(SUBSTITUTE(BL8,CHAR(160),""))),0),2),
" OK : Montant instruit inférieur au montant raisonnable.",
TRUE,""
))</f>
        <v xml:space="preserve"> OK : Montant instruit inférieur au montant raisonnable.</v>
      </c>
      <c r="BO8" s="23" t="str" cm="1">
        <f t="array" ref="BO8">IF(OR(BL8="",AD8="",BJ8="",AB8="",BK8="",AC8=""),"",_xlfn.IFS(
ROUND(IFERROR(VALUE(TRIM(SUBSTITUTE(BL8,CHAR(160),""))),0),2)&gt;
ROUND(IFERROR(VALUE(TRIM(SUBSTITUTE(AD8,CHAR(160),""))),0),2),
"KO : Le montant retenu TTC est supérieur au montant présenté TTC. Merci de revoir la ligne de dépense ou plafonner son montant.",
ROUND(IFERROR(VALUE(TRIM(SUBSTITUTE(BJ8,CHAR(160),""))),0),2)&gt;
ROUND(IFERROR(VALUE(TRIM(SUBSTITUTE(AB8,CHAR(160),""))),0),2),
"Attention : Le montant retenu HT est supérieur au montant HT présenté. Merci de revoir la ligne de dépense, plafonner son montant, ou justifier la reventillation HT / TVA.",
ROUND(IFERROR(VALUE(TRIM(SUBSTITUTE(BK8,CHAR(160),""))),0),2)&gt;
ROUND(IFERROR(VALUE(TRIM(SUBSTITUTE(AC8,CHAR(160),""))),0),2),
"Attention : Le montant TVA retenu est supérieur au montant TVA présenté. Merci de revoir la ligne de dépense, plafonner son montant, ou justifier la reventillation HT / TVA.",
ROUND(IFERROR(VALUE(TRIM(SUBSTITUTE(AD8,CHAR(160),""))),0),2)=0,
"",
ROUND(IFERROR(VALUE(TRIM(SUBSTITUTE(BL8,CHAR(160),""))),0),2)=
ROUND(IFERROR(VALUE(TRIM(SUBSTITUTE(AD8,CHAR(160),""))),0),2),
"OK",
ROUND(IFERROR(VALUE(TRIM(SUBSTITUTE(BL8,CHAR(160),""))),0),2)=0,
"Attention : Montant présenté entièrement rejeté.",
ROUND(IFERROR(VALUE(TRIM(SUBSTITUTE(BL8,CHAR(160),""))),0),2)&lt;
ROUND(IFERROR(VALUE(TRIM(SUBSTITUTE(AD8,CHAR(160),""))),0),2),
"Attention : Montant présenté partiellement rejeté.",
TRUE,""
))</f>
        <v>OK</v>
      </c>
      <c r="BP8" s="104">
        <f t="shared" ref="BP8:BR9" si="2">IF(OR(AB8="",BJ8=""),"",(IFERROR(VALUE(TRIM(SUBSTITUTE(AB8,CHAR(160),""))),0))-(IFERROR(VALUE(TRIM(SUBSTITUTE(BJ8,CHAR(160),""))),0)))</f>
        <v>0</v>
      </c>
      <c r="BQ8" s="104">
        <f t="shared" si="2"/>
        <v>0</v>
      </c>
      <c r="BR8" s="214">
        <f t="shared" si="2"/>
        <v>0</v>
      </c>
    </row>
    <row r="9" spans="1:71" s="1" customFormat="1" ht="15.95">
      <c r="A9" s="175">
        <v>1</v>
      </c>
      <c r="B9" s="7"/>
      <c r="C9" s="7"/>
      <c r="D9" s="19"/>
      <c r="E9" s="7"/>
      <c r="F9" s="7"/>
      <c r="G9" s="7"/>
      <c r="H9" s="7"/>
      <c r="I9" s="28"/>
      <c r="J9" s="7"/>
      <c r="K9" s="29"/>
      <c r="L9" s="678"/>
      <c r="M9" s="7"/>
      <c r="N9" s="672"/>
      <c r="O9" s="11"/>
      <c r="P9" s="107" t="str">
        <f t="shared" ref="P9:P11" si="3">IF(OR(N9="", O9=""), "", IFERROR(VALUE(TRIM(SUBSTITUTE(N9,CHAR(160),""))),0) + IFERROR(VALUE(TRIM(SUBSTITUTE(O9,CHAR(160),""))),0))</f>
        <v/>
      </c>
      <c r="Q9" s="699"/>
      <c r="R9" s="702"/>
      <c r="S9" s="684"/>
      <c r="T9" s="11"/>
      <c r="U9" s="107" t="str">
        <f t="shared" ref="U9:U12" si="4">IF(OR(S9="", T9=""), "", IFERROR(VALUE(TRIM(SUBSTITUTE(S9,CHAR(160),""))),0) + IFERROR(VALUE(TRIM(SUBSTITUTE(T9,CHAR(160),""))),0))</f>
        <v/>
      </c>
      <c r="V9" s="695"/>
      <c r="W9" s="685"/>
      <c r="X9" s="707"/>
      <c r="Y9" s="684"/>
      <c r="Z9" s="108" t="str">
        <f>IF(OR(X9="", Y9=""), "", IFERROR(VALUE(TRIM(SUBSTITUTE(X9,CHAR(160),""))),0) + IFERROR(VALUE(TRIM(SUBSTITUTE(Y9,CHAR(160),""))),0))</f>
        <v/>
      </c>
      <c r="AA9" s="25"/>
      <c r="AB9" s="287" t="str" cm="1">
        <f t="array" ref="AB9">IF((_xlfn.IFS(TRIM(SUBSTITUTE(AA9,CHAR(160),""))="Devis 1",IFERROR(VALUE(TRIM(SUBSTITUTE(N9,CHAR(160),""))),0),TRIM(SUBSTITUTE(AA9,CHAR(160),""))="Devis 2",IFERROR(VALUE(TRIM(SUBSTITUTE(S9,CHAR(160),""))),0),TRIM(SUBSTITUTE(AA9,CHAR(160),""))="Devis 3",IFERROR(VALUE(TRIM(SUBSTITUTE(X9,CHAR(160),""))),0),TRUE,0)*IFERROR(VALUE(TRIM(SUBSTITUTE(D9,CHAR(160),""))),0))=0,"",_xlfn.IFS(TRIM(SUBSTITUTE(AA9,CHAR(160),""))="Devis 1",IFERROR(VALUE(TRIM(SUBSTITUTE(N9,CHAR(160),""))),0),TRIM(SUBSTITUTE(AA9,CHAR(160),""))="Devis 2",IFERROR(VALUE(TRIM(SUBSTITUTE(S9,CHAR(160),""))),0),TRIM(SUBSTITUTE(AA9,CHAR(160),""))="Devis 3",IFERROR(VALUE(TRIM(SUBSTITUTE(X9,CHAR(160),""))),0),TRUE,0)*IFERROR(VALUE(TRIM(SUBSTITUTE(D9,CHAR(160),""))),0))</f>
        <v/>
      </c>
      <c r="AC9" s="275" t="str" cm="1">
        <f t="array" ref="AC9">IF(_xlfn.IFS(TRIM(SUBSTITUTE(AA9,CHAR(160),""))="Devis 1",IFERROR(VALUE(TRIM(SUBSTITUTE(O9,CHAR(160),""))),0),TRIM(SUBSTITUTE(AA9,CHAR(160),""))="Devis 2",IFERROR(VALUE(TRIM(SUBSTITUTE(T9,CHAR(160),""))),0),TRIM(SUBSTITUTE(AA9,CHAR(160),""))="Devis 3",IFERROR(VALUE(TRIM(SUBSTITUTE(Y9,CHAR(160),""))),0),TRUE,0)*IFERROR(VALUE(TRIM(SUBSTITUTE(D9,CHAR(160),""))),0)=0,IF(AB9&lt;&gt;"",0,""),_xlfn.IFS(TRIM(SUBSTITUTE(AA9,CHAR(160),""))="Devis 1",IFERROR(VALUE(TRIM(SUBSTITUTE(O9,CHAR(160),""))),0),TRIM(SUBSTITUTE(AA9,CHAR(160),""))="Devis 2",IFERROR(VALUE(TRIM(SUBSTITUTE(T9,CHAR(160),""))),0),TRIM(SUBSTITUTE(AA9,CHAR(160),""))="Devis 3",IFERROR(VALUE(TRIM(SUBSTITUTE(Y9,CHAR(160),""))),0),TRUE,0)*IFERROR(VALUE(TRIM(SUBSTITUTE(D9,CHAR(160),""))),0))</f>
        <v/>
      </c>
      <c r="AD9" s="285" t="str">
        <f t="shared" ref="AD9:AD13" si="5">IF(OR(AB9="", AC9=""), "", IFERROR(VALUE(TRIM(SUBSTITUTE(AB9,CHAR(160),""))),0) + IFERROR(VALUE(TRIM(SUBSTITUTE(AC9,CHAR(160),""))),0))</f>
        <v/>
      </c>
      <c r="AE9" s="655"/>
      <c r="AF9" s="109" t="str">
        <f t="shared" si="0"/>
        <v/>
      </c>
      <c r="AG9" s="109" t="str">
        <f t="shared" si="0"/>
        <v/>
      </c>
      <c r="AH9" s="885" t="str">
        <f t="shared" si="0"/>
        <v/>
      </c>
      <c r="AI9" s="109" t="str">
        <f t="shared" si="0"/>
        <v/>
      </c>
      <c r="AJ9" s="109" t="str">
        <f>IF(F9="","",F9)</f>
        <v/>
      </c>
      <c r="AK9" s="109" t="str">
        <f t="shared" ref="AK9:AO9" si="6">IF(G9="","",G9)</f>
        <v/>
      </c>
      <c r="AL9" s="109" t="str">
        <f t="shared" si="6"/>
        <v/>
      </c>
      <c r="AM9" s="109" t="str">
        <f t="shared" si="6"/>
        <v/>
      </c>
      <c r="AN9" s="109"/>
      <c r="AO9" s="109" t="str">
        <f t="shared" si="6"/>
        <v/>
      </c>
      <c r="AP9" s="754" t="str">
        <f t="shared" ref="AP9" si="7">IF(L9="","",L9)</f>
        <v/>
      </c>
      <c r="AQ9" s="755" t="str">
        <f t="shared" ref="AQ9" si="8">IF(M9="","",M9)</f>
        <v/>
      </c>
      <c r="AR9" s="195" t="str">
        <f t="shared" ref="AR9" si="9">IF(N9="","",N9)</f>
        <v/>
      </c>
      <c r="AS9" s="195" t="str">
        <f t="shared" ref="AS9" si="10">IF(O9="","",O9)</f>
        <v/>
      </c>
      <c r="AT9" s="664" t="str">
        <f t="shared" ref="AT9" si="11">IF(OR(AR9="", AS9=""), "", IFERROR(VALUE(TRIM(SUBSTITUTE(AR9,CHAR(160),""))),0) + IFERROR(VALUE(TRIM(SUBSTITUTE(AS9,CHAR(160),""))),0))</f>
        <v/>
      </c>
      <c r="AU9" s="756" t="str">
        <f>IF(Q9="","",Q9)</f>
        <v/>
      </c>
      <c r="AV9" s="195" t="str">
        <f>IF(R9="","",R9)</f>
        <v/>
      </c>
      <c r="AW9" s="195" t="str">
        <f>IF(S9="","",S9)</f>
        <v/>
      </c>
      <c r="AX9" s="195" t="str">
        <f>IF(T9="","",T9)</f>
        <v/>
      </c>
      <c r="AY9" s="728" t="str">
        <f t="shared" ref="AY9" si="12">IF(OR(AW9="",AX9=""),"",IFERROR(VALUE(TRIM(SUBSTITUTE(AW9,CHAR(160),""))),0)+IFERROR(VALUE(TRIM(SUBSTITUTE(AX9,CHAR(160),""))),0))</f>
        <v/>
      </c>
      <c r="AZ9" s="195" t="str">
        <f>IF(V9="","",V9)</f>
        <v/>
      </c>
      <c r="BA9" s="195" t="str">
        <f>IF(W9="","",W9)</f>
        <v/>
      </c>
      <c r="BB9" s="195" t="str">
        <f>IF(X9="","",X9)</f>
        <v/>
      </c>
      <c r="BC9" s="195" t="str">
        <f>IF(Y9="","",Y9)</f>
        <v/>
      </c>
      <c r="BD9" s="112" t="str">
        <f>IF(OR(BB9="",BC9=""),"",IFERROR(VALUE(TRIM(SUBSTITUTE(BB9,CHAR(160),""))),0)+IFERROR(VALUE(TRIM(SUBSTITUTE(BC9,CHAR(160),""))),0))</f>
        <v/>
      </c>
      <c r="BE9" s="109" t="str">
        <f>IF(AA9="","",AA9)</f>
        <v/>
      </c>
      <c r="BF9" s="602"/>
      <c r="BG9" s="113" t="str">
        <f>IF(AI9="","",
IF(
AND(
IFERROR(VALUE(TRIM(SUBSTITUTE(AR9,CHAR(160),""))),0)=0,
IFERROR(VALUE(TRIM(SUBSTITUTE(AW9,CHAR(160),""))),0)=0,
IFERROR(VALUE(TRIM(SUBSTITUTE(BB9,CHAR(160),""))),0)=0
),
0,
IF(
1.15*
MIN(
IF(IFERROR(VALUE(TRIM(SUBSTITUTE(AR9,CHAR(160),""))),0)=0,1E+30,IFERROR(VALUE(TRIM(SUBSTITUTE(AR9,CHAR(160),""))),0)),
IF(IFERROR(VALUE(TRIM(SUBSTITUTE(AW9,CHAR(160),""))),0)=0,1E+30,IFERROR(VALUE(TRIM(SUBSTITUTE(AW9,CHAR(160),""))),0)),
IF(IFERROR(VALUE(TRIM(SUBSTITUTE(BB9,CHAR(160),""))),0)=0,1E+30,IFERROR(VALUE(TRIM(SUBSTITUTE(BB9,CHAR(160),""))),0))
)
*IFERROR(VALUE(TRIM(SUBSTITUTE(AH9,CHAR(160),""))),0)
=0,
0,
1.15*
MIN(
IF(IFERROR(VALUE(TRIM(SUBSTITUTE(AR9,CHAR(160),""))),0)=0,1E+30,IFERROR(VALUE(TRIM(SUBSTITUTE(AR9,CHAR(160),""))),0)),
IF(IFERROR(VALUE(TRIM(SUBSTITUTE(AW9,CHAR(160),""))),0)=0,1E+30,IFERROR(VALUE(TRIM(SUBSTITUTE(AW9,CHAR(160),""))),0)),
IF(IFERROR(VALUE(TRIM(SUBSTITUTE(BB9,CHAR(160),""))),0)=0,1E+30,IFERROR(VALUE(TRIM(SUBSTITUTE(BB9,CHAR(160),""))),0))
)
*IFERROR(VALUE(TRIM(SUBSTITUTE(AH9,CHAR(160),""))),0)
)
)
)</f>
        <v/>
      </c>
      <c r="BH9" s="113" t="str">
        <f>IF(AI9="","",
IF(
AND(
IFERROR(VALUE(TRIM(SUBSTITUTE(AS9,CHAR(160),""))),0)=0,
IFERROR(VALUE(TRIM(SUBSTITUTE(AX9,CHAR(160),""))),0)=0,
IFERROR(VALUE(TRIM(SUBSTITUTE(BC9,CHAR(160),""))),0)=0
),
0,
IF(
1.15*
MIN(
IF(IFERROR(VALUE(TRIM(SUBSTITUTE(AS9,CHAR(160),""))),0)=0,1E+30,IFERROR(VALUE(TRIM(SUBSTITUTE(AS9,CHAR(160),""))),0)),
IF(IFERROR(VALUE(TRIM(SUBSTITUTE(AX9,CHAR(160),""))),0)=0,1E+30,IFERROR(VALUE(TRIM(SUBSTITUTE(AX9,CHAR(160),""))),0)),
IF(IFERROR(VALUE(TRIM(SUBSTITUTE(BC9,CHAR(160),""))),0)=0,1E+30,IFERROR(VALUE(TRIM(SUBSTITUTE(BC9,CHAR(160),""))),0))
)
*IFERROR(VALUE(TRIM(SUBSTITUTE(AH9,CHAR(160),""))),0)
=0,
0,
1.15*
MIN(
IF(IFERROR(VALUE(TRIM(SUBSTITUTE(AS9,CHAR(160),""))),0)=0,1E+30,IFERROR(VALUE(TRIM(SUBSTITUTE(AS9,CHAR(160),""))),0)),
IF(IFERROR(VALUE(TRIM(SUBSTITUTE(AX9,CHAR(160),""))),0)=0,1E+30,IFERROR(VALUE(TRIM(SUBSTITUTE(AX9,CHAR(160),""))),0)),
IF(IFERROR(VALUE(TRIM(SUBSTITUTE(BC9,CHAR(160),""))),0)=0,1E+30,IFERROR(VALUE(TRIM(SUBSTITUTE(BC9,CHAR(160),""))),0))
)
*IFERROR(VALUE(TRIM(SUBSTITUTE(AH9,CHAR(160),""))),0)
)
)
)</f>
        <v/>
      </c>
      <c r="BI9" s="113" t="str">
        <f t="shared" ref="BI9" si="13">IF(BG9="","",BG9+BH9)</f>
        <v/>
      </c>
      <c r="BJ9" s="281" t="str" cm="1">
        <f t="array" ref="BJ9">IF($AH9="","",
_xlfn.IFS(
$BE9="Devis 1",
IF(ISBLANK(AR9),"",IFERROR(VALUE(TRIM(SUBSTITUTE(AR9,CHAR(160),""))),0)*IFERROR(VALUE(TRIM(SUBSTITUTE($AH9,CHAR(160),""))),0)),
$BE9="Devis 2",
IF(ISBLANK(AW9),"",IFERROR(VALUE(TRIM(SUBSTITUTE(AW9,CHAR(160),""))),0)*IFERROR(VALUE(TRIM(SUBSTITUTE($AH9,CHAR(160),""))),0)),
$BE9="Devis 3",
IF(ISBLANK(BB9),"",IFERROR(VALUE(TRIM(SUBSTITUTE(BB9,CHAR(160),""))),0)*IFERROR(VALUE(TRIM(SUBSTITUTE($AH9,CHAR(160),""))),0)),
TRUE,0
)
)</f>
        <v/>
      </c>
      <c r="BK9" s="281" t="str" cm="1">
        <f t="array" ref="BK9">IF($AH9="","",
_xlfn.IFS(
$BE9="Devis 1",
IF(ISBLANK(AS9),"",IFERROR(VALUE(TRIM(SUBSTITUTE(AS9,CHAR(160),""))),0)*IFERROR(VALUE(TRIM(SUBSTITUTE($AH9,CHAR(160),""))),0)),
$BE9="Devis 2",
IF(ISBLANK(AX9),"",IFERROR(VALUE(TRIM(SUBSTITUTE(AX9,CHAR(160),""))),0)*IFERROR(VALUE(TRIM(SUBSTITUTE($AH9,CHAR(160),""))),0)),
$BE9="Devis 3",
IF(ISBLANK(BC9),"",IFERROR(VALUE(TRIM(SUBSTITUTE(BC9,CHAR(160),""))),0)*IFERROR(VALUE(TRIM(SUBSTITUTE($AH9,CHAR(160),""))),0)),
TRUE,0
)
)</f>
        <v/>
      </c>
      <c r="BL9" s="281" t="str">
        <f>IF(BJ9="","",BJ9+BK9)</f>
        <v/>
      </c>
      <c r="BM9" s="602"/>
      <c r="BN9" s="23" t="str" cm="1">
        <f t="array" ref="BN9">IF(OR(BL9="",BI9="",BJ9="",BG9="",BK9="",BH9=""),"",_xlfn.IFS(
ROUND(IFERROR(VALUE(TRIM(SUBSTITUTE(BL9,CHAR(160),""))),0),2)&gt;
ROUND(IFERROR(VALUE(TRIM(SUBSTITUTE(BI9,CHAR(160),""))),0),2),
"KO : Le montant retenu TTC est supérieur au montant raisonnable TTC. Merci de revoir la ligne de dépense ou plafonner son montant.",
ROUND(IFERROR(VALUE(TRIM(SUBSTITUTE(BJ9,CHAR(160),""))),0),2)&gt;
ROUND(IFERROR(VALUE(TRIM(SUBSTITUTE(BG9,CHAR(160),""))),0),2),
"Attention : Le montant retenu HT est supérieur au montant HT raisonnable. Merci de revoir la ligne de dépense, plafonner son montant, ou justifier la reventillation HT / TVA.",
ROUND(IFERROR(VALUE(TRIM(SUBSTITUTE(BK9,CHAR(160),""))),0),2)&gt;
ROUND(IFERROR(VALUE(TRIM(SUBSTITUTE(BH9,CHAR(160),""))),0),2),
"Attention : Le montant TVA retenu est supérieur au montant TVA raisonnable. Merci de revoir la ligne de dépense, plafonner son montant, ou justifier la reventillation HT / TVA.",
ROUND(IFERROR(VALUE(TRIM(SUBSTITUTE(BL9,CHAR(160),""))),0),2)&gt;
ROUND(IFERROR(VALUE(TRIM(SUBSTITUTE(MIN(P9,U9,Z9),CHAR(160),""))),0),2),
"Attention : Le devis retenu n'est pas le moins cher. Une justification de la part du porteur est nécessaire.",
ROUND(IFERROR(VALUE(TRIM(SUBSTITUTE(BL9,CHAR(160),""))),0),2)=0,
"Attention : montant présenté entièrement écarté",
ROUND(IFERROR(VALUE(TRIM(SUBSTITUTE(BI9,CHAR(160),""))),0),2)=
ROUND(IFERROR(VALUE(TRIM(SUBSTITUTE(BL9,CHAR(160),""))),0),2),
"OK",
ROUND(IFERROR(VALUE(TRIM(SUBSTITUTE(BI9,CHAR(160),""))),0),2)&gt;
ROUND(IFERROR(VALUE(TRIM(SUBSTITUTE(BL9,CHAR(160),""))),0),2),
" OK : Montant instruit inférieur au montant raisonnable.",
TRUE,""
))</f>
        <v/>
      </c>
      <c r="BO9" s="23" t="str" cm="1">
        <f t="array" ref="BO9">IF(OR(BL9="",AD9="",BJ9="",AB9="",BK9="",AC9=""),"",_xlfn.IFS(
ROUND(IFERROR(VALUE(TRIM(SUBSTITUTE(BL9,CHAR(160),""))),0),2)&gt;
ROUND(IFERROR(VALUE(TRIM(SUBSTITUTE(AD9,CHAR(160),""))),0),2),
"KO : Le montant retenu TTC est supérieur au montant présenté TTC. Merci de revoir la ligne de dépense ou plafonner son montant.",
ROUND(IFERROR(VALUE(TRIM(SUBSTITUTE(BJ9,CHAR(160),""))),0),2)&gt;
ROUND(IFERROR(VALUE(TRIM(SUBSTITUTE(AB9,CHAR(160),""))),0),2),
"Attention : Le montant retenu HT est supérieur au montant HT présenté. Merci de revoir la ligne de dépense, plafonner son montant, ou justifier la reventillation HT / TVA.",
ROUND(IFERROR(VALUE(TRIM(SUBSTITUTE(BK9,CHAR(160),""))),0),2)&gt;
ROUND(IFERROR(VALUE(TRIM(SUBSTITUTE(AC9,CHAR(160),""))),0),2),
"Attention : Le montant TVA retenu est supérieur au montant TVA présenté. Merci de revoir la ligne de dépense, plafonner son montant, ou justifier la reventillation HT / TVA.",
ROUND(IFERROR(VALUE(TRIM(SUBSTITUTE(AD9,CHAR(160),""))),0),2)=0,
"",
ROUND(IFERROR(VALUE(TRIM(SUBSTITUTE(BL9,CHAR(160),""))),0),2)=
ROUND(IFERROR(VALUE(TRIM(SUBSTITUTE(AD9,CHAR(160),""))),0),2),
"OK",
ROUND(IFERROR(VALUE(TRIM(SUBSTITUTE(BL9,CHAR(160),""))),0),2)=0,
"Attention : Montant présenté entièrement rejeté.",
ROUND(IFERROR(VALUE(TRIM(SUBSTITUTE(BL9,CHAR(160),""))),0),2)&lt;
ROUND(IFERROR(VALUE(TRIM(SUBSTITUTE(AD9,CHAR(160),""))),0),2),
"Attention : Montant présenté partiellement rejeté.",
TRUE,""
))</f>
        <v/>
      </c>
      <c r="BP9" s="113" t="str">
        <f t="shared" si="2"/>
        <v/>
      </c>
      <c r="BQ9" s="113" t="str">
        <f t="shared" si="2"/>
        <v/>
      </c>
      <c r="BR9" s="33" t="str">
        <f t="shared" si="2"/>
        <v/>
      </c>
      <c r="BS9" s="3"/>
    </row>
    <row r="10" spans="1:71" s="1" customFormat="1" ht="15.95">
      <c r="A10" s="175">
        <v>2</v>
      </c>
      <c r="B10" s="7"/>
      <c r="C10" s="7"/>
      <c r="D10" s="19"/>
      <c r="E10" s="7"/>
      <c r="F10" s="7"/>
      <c r="G10" s="7"/>
      <c r="H10" s="7"/>
      <c r="I10" s="28"/>
      <c r="J10" s="7"/>
      <c r="K10" s="29"/>
      <c r="L10" s="678"/>
      <c r="M10" s="7"/>
      <c r="N10" s="672"/>
      <c r="O10" s="11"/>
      <c r="P10" s="107" t="str">
        <f t="shared" si="3"/>
        <v/>
      </c>
      <c r="Q10" s="699"/>
      <c r="R10" s="702"/>
      <c r="S10" s="684"/>
      <c r="T10" s="11"/>
      <c r="U10" s="107" t="str">
        <f t="shared" si="4"/>
        <v/>
      </c>
      <c r="V10" s="695"/>
      <c r="W10" s="685"/>
      <c r="X10" s="707"/>
      <c r="Y10" s="684"/>
      <c r="Z10" s="108" t="str">
        <f>IF(OR(X10="", Y10=""), "", IFERROR(VALUE(TRIM(SUBSTITUTE(X10,CHAR(160),""))),0) + IFERROR(VALUE(TRIM(SUBSTITUTE(Y10,CHAR(160),""))),0))</f>
        <v/>
      </c>
      <c r="AA10" s="25"/>
      <c r="AB10" s="287" t="str" cm="1">
        <f t="array" ref="AB10">IF((_xlfn.IFS(TRIM(SUBSTITUTE(AA10,CHAR(160),""))="Devis 1",IFERROR(VALUE(TRIM(SUBSTITUTE(N10,CHAR(160),""))),0),TRIM(SUBSTITUTE(AA10,CHAR(160),""))="Devis 2",IFERROR(VALUE(TRIM(SUBSTITUTE(S10,CHAR(160),""))),0),TRIM(SUBSTITUTE(AA10,CHAR(160),""))="Devis 3",IFERROR(VALUE(TRIM(SUBSTITUTE(X10,CHAR(160),""))),0),TRUE,0)*IFERROR(VALUE(TRIM(SUBSTITUTE(D10,CHAR(160),""))),0))=0,"",_xlfn.IFS(TRIM(SUBSTITUTE(AA10,CHAR(160),""))="Devis 1",IFERROR(VALUE(TRIM(SUBSTITUTE(N10,CHAR(160),""))),0),TRIM(SUBSTITUTE(AA10,CHAR(160),""))="Devis 2",IFERROR(VALUE(TRIM(SUBSTITUTE(S10,CHAR(160),""))),0),TRIM(SUBSTITUTE(AA10,CHAR(160),""))="Devis 3",IFERROR(VALUE(TRIM(SUBSTITUTE(X10,CHAR(160),""))),0),TRUE,0)*IFERROR(VALUE(TRIM(SUBSTITUTE(D10,CHAR(160),""))),0))</f>
        <v/>
      </c>
      <c r="AC10" s="275" t="str" cm="1">
        <f t="array" ref="AC10">IF(_xlfn.IFS(TRIM(SUBSTITUTE(AA10,CHAR(160),""))="Devis 1",IFERROR(VALUE(TRIM(SUBSTITUTE(O10,CHAR(160),""))),0),TRIM(SUBSTITUTE(AA10,CHAR(160),""))="Devis 2",IFERROR(VALUE(TRIM(SUBSTITUTE(T10,CHAR(160),""))),0),TRIM(SUBSTITUTE(AA10,CHAR(160),""))="Devis 3",IFERROR(VALUE(TRIM(SUBSTITUTE(Y10,CHAR(160),""))),0),TRUE,0)*IFERROR(VALUE(TRIM(SUBSTITUTE(D10,CHAR(160),""))),0)=0,IF(AB10&lt;&gt;"",0,""),_xlfn.IFS(TRIM(SUBSTITUTE(AA10,CHAR(160),""))="Devis 1",IFERROR(VALUE(TRIM(SUBSTITUTE(O10,CHAR(160),""))),0),TRIM(SUBSTITUTE(AA10,CHAR(160),""))="Devis 2",IFERROR(VALUE(TRIM(SUBSTITUTE(T10,CHAR(160),""))),0),TRIM(SUBSTITUTE(AA10,CHAR(160),""))="Devis 3",IFERROR(VALUE(TRIM(SUBSTITUTE(Y10,CHAR(160),""))),0),TRUE,0)*IFERROR(VALUE(TRIM(SUBSTITUTE(D10,CHAR(160),""))),0))</f>
        <v/>
      </c>
      <c r="AD10" s="285" t="str">
        <f t="shared" si="5"/>
        <v/>
      </c>
      <c r="AE10" s="26"/>
      <c r="AF10" s="109" t="str">
        <f t="shared" ref="AF10:AF73" si="14">IF(B10="","",B10)</f>
        <v/>
      </c>
      <c r="AG10" s="109" t="str">
        <f t="shared" ref="AG10:AG73" si="15">IF(C10="","",C10)</f>
        <v/>
      </c>
      <c r="AH10" s="885" t="str">
        <f t="shared" ref="AH10:AH73" si="16">IF(D10="","",D10)</f>
        <v/>
      </c>
      <c r="AI10" s="109" t="str">
        <f t="shared" ref="AI10:AI73" si="17">IF(E10="","",E10)</f>
        <v/>
      </c>
      <c r="AJ10" s="109" t="str">
        <f t="shared" ref="AJ10:AJ73" si="18">IF(F10="","",F10)</f>
        <v/>
      </c>
      <c r="AK10" s="109" t="str">
        <f t="shared" ref="AK10:AK73" si="19">IF(G10="","",G10)</f>
        <v/>
      </c>
      <c r="AL10" s="109" t="str">
        <f t="shared" ref="AL10:AL73" si="20">IF(H10="","",H10)</f>
        <v/>
      </c>
      <c r="AM10" s="109" t="str">
        <f t="shared" ref="AM10:AM73" si="21">IF(I10="","",I10)</f>
        <v/>
      </c>
      <c r="AN10" s="109" t="str">
        <f t="shared" ref="AN10:AN73" si="22">IF(J10="","",J10)</f>
        <v/>
      </c>
      <c r="AO10" s="109" t="str">
        <f t="shared" ref="AO10:AO73" si="23">IF(K10="","",K10)</f>
        <v/>
      </c>
      <c r="AP10" s="754" t="str">
        <f t="shared" ref="AP10:AP73" si="24">IF(L10="","",L10)</f>
        <v/>
      </c>
      <c r="AQ10" s="755" t="str">
        <f t="shared" ref="AQ10:AQ73" si="25">IF(M10="","",M10)</f>
        <v/>
      </c>
      <c r="AR10" s="195" t="str">
        <f t="shared" ref="AR10:AR73" si="26">IF(N10="","",N10)</f>
        <v/>
      </c>
      <c r="AS10" s="195" t="str">
        <f t="shared" ref="AS10:AS73" si="27">IF(O10="","",O10)</f>
        <v/>
      </c>
      <c r="AT10" s="664" t="str">
        <f t="shared" ref="AT10:AT73" si="28">IF(OR(AR10="", AS10=""), "", IFERROR(VALUE(TRIM(SUBSTITUTE(AR10,CHAR(160),""))),0) + IFERROR(VALUE(TRIM(SUBSTITUTE(AS10,CHAR(160),""))),0))</f>
        <v/>
      </c>
      <c r="AU10" s="756" t="str">
        <f t="shared" ref="AU10:AU73" si="29">IF(Q10="","",Q10)</f>
        <v/>
      </c>
      <c r="AV10" s="195" t="str">
        <f t="shared" ref="AV10:AV73" si="30">IF(R10="","",R10)</f>
        <v/>
      </c>
      <c r="AW10" s="195" t="str">
        <f t="shared" ref="AW10:AW73" si="31">IF(S10="","",S10)</f>
        <v/>
      </c>
      <c r="AX10" s="195" t="str">
        <f t="shared" ref="AX10:AX73" si="32">IF(T10="","",T10)</f>
        <v/>
      </c>
      <c r="AY10" s="728" t="str">
        <f t="shared" ref="AY10:AY73" si="33">IF(OR(AW10="",AX10=""),"",IFERROR(VALUE(TRIM(SUBSTITUTE(AW10,CHAR(160),""))),0)+IFERROR(VALUE(TRIM(SUBSTITUTE(AX10,CHAR(160),""))),0))</f>
        <v/>
      </c>
      <c r="AZ10" s="195" t="str">
        <f t="shared" ref="AZ10:AZ73" si="34">IF(V10="","",V10)</f>
        <v/>
      </c>
      <c r="BA10" s="195" t="str">
        <f t="shared" ref="BA10:BA73" si="35">IF(W10="","",W10)</f>
        <v/>
      </c>
      <c r="BB10" s="195" t="str">
        <f t="shared" ref="BB10:BB73" si="36">IF(X10="","",X10)</f>
        <v/>
      </c>
      <c r="BC10" s="195" t="str">
        <f t="shared" ref="BC10:BC73" si="37">IF(Y10="","",Y10)</f>
        <v/>
      </c>
      <c r="BD10" s="112" t="str">
        <f t="shared" ref="BD10:BD73" si="38">IF(OR(BB10="",BC10=""),"",IFERROR(VALUE(TRIM(SUBSTITUTE(BB10,CHAR(160),""))),0)+IFERROR(VALUE(TRIM(SUBSTITUTE(BC10,CHAR(160),""))),0))</f>
        <v/>
      </c>
      <c r="BE10" s="109" t="str">
        <f t="shared" ref="BE10:BE73" si="39">IF(AA10="","",AA10)</f>
        <v/>
      </c>
      <c r="BF10" s="602"/>
      <c r="BG10" s="113" t="str">
        <f t="shared" ref="BG10:BG73" si="40">IF(AI10="","",
IF(
AND(
IFERROR(VALUE(TRIM(SUBSTITUTE(AR10,CHAR(160),""))),0)=0,
IFERROR(VALUE(TRIM(SUBSTITUTE(AW10,CHAR(160),""))),0)=0,
IFERROR(VALUE(TRIM(SUBSTITUTE(BB10,CHAR(160),""))),0)=0
),
0,
IF(
1.15*
MIN(
IF(IFERROR(VALUE(TRIM(SUBSTITUTE(AR10,CHAR(160),""))),0)=0,1E+30,IFERROR(VALUE(TRIM(SUBSTITUTE(AR10,CHAR(160),""))),0)),
IF(IFERROR(VALUE(TRIM(SUBSTITUTE(AW10,CHAR(160),""))),0)=0,1E+30,IFERROR(VALUE(TRIM(SUBSTITUTE(AW10,CHAR(160),""))),0)),
IF(IFERROR(VALUE(TRIM(SUBSTITUTE(BB10,CHAR(160),""))),0)=0,1E+30,IFERROR(VALUE(TRIM(SUBSTITUTE(BB10,CHAR(160),""))),0))
)
*IFERROR(VALUE(TRIM(SUBSTITUTE(AH10,CHAR(160),""))),0)
=0,
0,
1.15*
MIN(
IF(IFERROR(VALUE(TRIM(SUBSTITUTE(AR10,CHAR(160),""))),0)=0,1E+30,IFERROR(VALUE(TRIM(SUBSTITUTE(AR10,CHAR(160),""))),0)),
IF(IFERROR(VALUE(TRIM(SUBSTITUTE(AW10,CHAR(160),""))),0)=0,1E+30,IFERROR(VALUE(TRIM(SUBSTITUTE(AW10,CHAR(160),""))),0)),
IF(IFERROR(VALUE(TRIM(SUBSTITUTE(BB10,CHAR(160),""))),0)=0,1E+30,IFERROR(VALUE(TRIM(SUBSTITUTE(BB10,CHAR(160),""))),0))
)
*IFERROR(VALUE(TRIM(SUBSTITUTE(AH10,CHAR(160),""))),0)
)
)
)</f>
        <v/>
      </c>
      <c r="BH10" s="113" t="str">
        <f t="shared" ref="BH10:BH73" si="41">IF(AI10="","",
IF(
AND(
IFERROR(VALUE(TRIM(SUBSTITUTE(AS10,CHAR(160),""))),0)=0,
IFERROR(VALUE(TRIM(SUBSTITUTE(AX10,CHAR(160),""))),0)=0,
IFERROR(VALUE(TRIM(SUBSTITUTE(BC10,CHAR(160),""))),0)=0
),
0,
IF(
1.15*
MIN(
IF(IFERROR(VALUE(TRIM(SUBSTITUTE(AS10,CHAR(160),""))),0)=0,1E+30,IFERROR(VALUE(TRIM(SUBSTITUTE(AS10,CHAR(160),""))),0)),
IF(IFERROR(VALUE(TRIM(SUBSTITUTE(AX10,CHAR(160),""))),0)=0,1E+30,IFERROR(VALUE(TRIM(SUBSTITUTE(AX10,CHAR(160),""))),0)),
IF(IFERROR(VALUE(TRIM(SUBSTITUTE(BC10,CHAR(160),""))),0)=0,1E+30,IFERROR(VALUE(TRIM(SUBSTITUTE(BC10,CHAR(160),""))),0))
)
*IFERROR(VALUE(TRIM(SUBSTITUTE(AH10,CHAR(160),""))),0)
=0,
0,
1.15*
MIN(
IF(IFERROR(VALUE(TRIM(SUBSTITUTE(AS10,CHAR(160),""))),0)=0,1E+30,IFERROR(VALUE(TRIM(SUBSTITUTE(AS10,CHAR(160),""))),0)),
IF(IFERROR(VALUE(TRIM(SUBSTITUTE(AX10,CHAR(160),""))),0)=0,1E+30,IFERROR(VALUE(TRIM(SUBSTITUTE(AX10,CHAR(160),""))),0)),
IF(IFERROR(VALUE(TRIM(SUBSTITUTE(BC10,CHAR(160),""))),0)=0,1E+30,IFERROR(VALUE(TRIM(SUBSTITUTE(BC10,CHAR(160),""))),0))
)
*IFERROR(VALUE(TRIM(SUBSTITUTE(AH10,CHAR(160),""))),0)
)
)
)</f>
        <v/>
      </c>
      <c r="BI10" s="113" t="str">
        <f t="shared" ref="BI10:BI73" si="42">IF(BG10="","",BG10+BH10)</f>
        <v/>
      </c>
      <c r="BJ10" s="281" t="str" cm="1">
        <f t="array" ref="BJ10">IF($AH10="","",
_xlfn.IFS(
$BE10="Devis 1",
IF(ISBLANK(AR10),"",IFERROR(VALUE(TRIM(SUBSTITUTE(AR10,CHAR(160),""))),0)*IFERROR(VALUE(TRIM(SUBSTITUTE($AH10,CHAR(160),""))),0)),
$BE10="Devis 2",
IF(ISBLANK(AW10),"",IFERROR(VALUE(TRIM(SUBSTITUTE(AW10,CHAR(160),""))),0)*IFERROR(VALUE(TRIM(SUBSTITUTE($AH10,CHAR(160),""))),0)),
$BE10="Devis 3",
IF(ISBLANK(BB10),"",IFERROR(VALUE(TRIM(SUBSTITUTE(BB10,CHAR(160),""))),0)*IFERROR(VALUE(TRIM(SUBSTITUTE($AH10,CHAR(160),""))),0)),
TRUE,0
)
)</f>
        <v/>
      </c>
      <c r="BK10" s="281" t="str" cm="1">
        <f t="array" ref="BK10">IF($AH10="","",
_xlfn.IFS(
$BE10="Devis 1",
IF(ISBLANK(AS10),"",IFERROR(VALUE(TRIM(SUBSTITUTE(AS10,CHAR(160),""))),0)*IFERROR(VALUE(TRIM(SUBSTITUTE($AH10,CHAR(160),""))),0)),
$BE10="Devis 2",
IF(ISBLANK(AX10),"",IFERROR(VALUE(TRIM(SUBSTITUTE(AX10,CHAR(160),""))),0)*IFERROR(VALUE(TRIM(SUBSTITUTE($AH10,CHAR(160),""))),0)),
$BE10="Devis 3",
IF(ISBLANK(BC10),"",IFERROR(VALUE(TRIM(SUBSTITUTE(BC10,CHAR(160),""))),0)*IFERROR(VALUE(TRIM(SUBSTITUTE($AH10,CHAR(160),""))),0)),
TRUE,0
)
)</f>
        <v/>
      </c>
      <c r="BL10" s="281" t="str">
        <f t="shared" ref="BL10:BL73" si="43">IF(BJ10="","",BJ10+BK10)</f>
        <v/>
      </c>
      <c r="BM10" s="602"/>
      <c r="BN10" s="23" t="str" cm="1">
        <f t="array" ref="BN10">IF(OR(BL10="",BI10="",BJ10="",BG10="",BK10="",BH10=""),"",_xlfn.IFS(
ROUND(IFERROR(VALUE(TRIM(SUBSTITUTE(BL10,CHAR(160),""))),0),2)&gt;
ROUND(IFERROR(VALUE(TRIM(SUBSTITUTE(BI10,CHAR(160),""))),0),2),
"KO : Le montant retenu TTC est supérieur au montant raisonnable TTC. Merci de revoir la ligne de dépense ou plafonner son montant.",
ROUND(IFERROR(VALUE(TRIM(SUBSTITUTE(BJ10,CHAR(160),""))),0),2)&gt;
ROUND(IFERROR(VALUE(TRIM(SUBSTITUTE(BG10,CHAR(160),""))),0),2),
"Attention : Le montant retenu HT est supérieur au montant HT raisonnable. Merci de revoir la ligne de dépense, plafonner son montant, ou justifier la reventillation HT / TVA.",
ROUND(IFERROR(VALUE(TRIM(SUBSTITUTE(BK10,CHAR(160),""))),0),2)&gt;
ROUND(IFERROR(VALUE(TRIM(SUBSTITUTE(BH10,CHAR(160),""))),0),2),
"Attention : Le montant TVA retenu est supérieur au montant TVA raisonnable. Merci de revoir la ligne de dépense, plafonner son montant, ou justifier la reventillation HT / TVA.",
ROUND(IFERROR(VALUE(TRIM(SUBSTITUTE(BL10,CHAR(160),""))),0),2)&gt;
ROUND(IFERROR(VALUE(TRIM(SUBSTITUTE(MIN(P10,U10,Z10),CHAR(160),""))),0),2),
"Attention : Le devis retenu n'est pas le moins cher. Une justification de la part du porteur est nécessaire.",
ROUND(IFERROR(VALUE(TRIM(SUBSTITUTE(BL10,CHAR(160),""))),0),2)=0,
"Attention : montant présenté entièrement écarté",
ROUND(IFERROR(VALUE(TRIM(SUBSTITUTE(BI10,CHAR(160),""))),0),2)=
ROUND(IFERROR(VALUE(TRIM(SUBSTITUTE(BL10,CHAR(160),""))),0),2),
"OK",
ROUND(IFERROR(VALUE(TRIM(SUBSTITUTE(BI10,CHAR(160),""))),0),2)&gt;
ROUND(IFERROR(VALUE(TRIM(SUBSTITUTE(BL10,CHAR(160),""))),0),2),
" OK : Montant instruit inférieur au montant raisonnable.",
TRUE,""
))</f>
        <v/>
      </c>
      <c r="BO10" s="23" t="str" cm="1">
        <f t="array" ref="BO10">IF(OR(BL10="",AD10="",BJ10="",AB10="",BK10="",AC10=""),"",_xlfn.IFS(
ROUND(IFERROR(VALUE(TRIM(SUBSTITUTE(BL10,CHAR(160),""))),0),2)&gt;
ROUND(IFERROR(VALUE(TRIM(SUBSTITUTE(AD10,CHAR(160),""))),0),2),
"KO : Le montant retenu TTC est supérieur au montant présenté TTC. Merci de revoir la ligne de dépense ou plafonner son montant.",
ROUND(IFERROR(VALUE(TRIM(SUBSTITUTE(BJ10,CHAR(160),""))),0),2)&gt;
ROUND(IFERROR(VALUE(TRIM(SUBSTITUTE(AB10,CHAR(160),""))),0),2),
"Attention : Le montant retenu HT est supérieur au montant HT présenté. Merci de revoir la ligne de dépense, plafonner son montant, ou justifier la reventillation HT / TVA.",
ROUND(IFERROR(VALUE(TRIM(SUBSTITUTE(BK10,CHAR(160),""))),0),2)&gt;
ROUND(IFERROR(VALUE(TRIM(SUBSTITUTE(AC10,CHAR(160),""))),0),2),
"Attention : Le montant TVA retenu est supérieur au montant TVA présenté. Merci de revoir la ligne de dépense, plafonner son montant, ou justifier la reventillation HT / TVA.",
ROUND(IFERROR(VALUE(TRIM(SUBSTITUTE(AD10,CHAR(160),""))),0),2)=0,
"",
ROUND(IFERROR(VALUE(TRIM(SUBSTITUTE(BL10,CHAR(160),""))),0),2)=
ROUND(IFERROR(VALUE(TRIM(SUBSTITUTE(AD10,CHAR(160),""))),0),2),
"OK",
ROUND(IFERROR(VALUE(TRIM(SUBSTITUTE(BL10,CHAR(160),""))),0),2)=0,
"Attention : Montant présenté entièrement rejeté.",
ROUND(IFERROR(VALUE(TRIM(SUBSTITUTE(BL10,CHAR(160),""))),0),2)&lt;
ROUND(IFERROR(VALUE(TRIM(SUBSTITUTE(AD10,CHAR(160),""))),0),2),
"Attention : Montant présenté partiellement rejeté.",
TRUE,""
))</f>
        <v/>
      </c>
      <c r="BP10" s="113" t="str">
        <f t="shared" ref="BP10:BP73" si="44">IF(OR(AB10="",BJ10=""),"",(IFERROR(VALUE(TRIM(SUBSTITUTE(AB10,CHAR(160),""))),0))-(IFERROR(VALUE(TRIM(SUBSTITUTE(BJ10,CHAR(160),""))),0)))</f>
        <v/>
      </c>
      <c r="BQ10" s="113" t="str">
        <f t="shared" ref="BQ10:BQ73" si="45">IF(OR(AC10="",BK10=""),"",(IFERROR(VALUE(TRIM(SUBSTITUTE(AC10,CHAR(160),""))),0))-(IFERROR(VALUE(TRIM(SUBSTITUTE(BK10,CHAR(160),""))),0)))</f>
        <v/>
      </c>
      <c r="BR10" s="33" t="str">
        <f t="shared" ref="BR10:BR73" si="46">IF(OR(AD10="",BL10=""),"",(IFERROR(VALUE(TRIM(SUBSTITUTE(AD10,CHAR(160),""))),0))-(IFERROR(VALUE(TRIM(SUBSTITUTE(BL10,CHAR(160),""))),0)))</f>
        <v/>
      </c>
      <c r="BS10" s="3"/>
    </row>
    <row r="11" spans="1:71" ht="20.25" customHeight="1">
      <c r="A11" s="193">
        <v>3</v>
      </c>
      <c r="B11" s="7"/>
      <c r="C11" s="7"/>
      <c r="D11" s="19"/>
      <c r="E11" s="7"/>
      <c r="F11" s="7"/>
      <c r="G11" s="7"/>
      <c r="H11" s="7"/>
      <c r="I11" s="28"/>
      <c r="J11" s="7"/>
      <c r="K11" s="29"/>
      <c r="L11" s="678"/>
      <c r="M11" s="7"/>
      <c r="N11" s="672"/>
      <c r="O11" s="11"/>
      <c r="P11" s="107" t="str">
        <f t="shared" si="3"/>
        <v/>
      </c>
      <c r="Q11" s="699"/>
      <c r="R11" s="702"/>
      <c r="S11" s="684"/>
      <c r="T11" s="11"/>
      <c r="U11" s="107" t="str">
        <f t="shared" si="4"/>
        <v/>
      </c>
      <c r="V11" s="695"/>
      <c r="W11" s="685"/>
      <c r="X11" s="707"/>
      <c r="Y11" s="684"/>
      <c r="Z11" s="108" t="str">
        <f t="shared" ref="Z11:Z13" si="47">IF(OR(X11="", Y11=""), "", IFERROR(VALUE(TRIM(SUBSTITUTE(X11,CHAR(160),""))),0) + IFERROR(VALUE(TRIM(SUBSTITUTE(Y11,CHAR(160),""))),0))</f>
        <v/>
      </c>
      <c r="AA11" s="25"/>
      <c r="AB11" s="287" t="str" cm="1">
        <f t="array" ref="AB11">IF((_xlfn.IFS(TRIM(SUBSTITUTE(AA11,CHAR(160),""))="Devis 1",IFERROR(VALUE(TRIM(SUBSTITUTE(N11,CHAR(160),""))),0),TRIM(SUBSTITUTE(AA11,CHAR(160),""))="Devis 2",IFERROR(VALUE(TRIM(SUBSTITUTE(S11,CHAR(160),""))),0),TRIM(SUBSTITUTE(AA11,CHAR(160),""))="Devis 3",IFERROR(VALUE(TRIM(SUBSTITUTE(X11,CHAR(160),""))),0),TRUE,0)*IFERROR(VALUE(TRIM(SUBSTITUTE(D11,CHAR(160),""))),0))=0,"",_xlfn.IFS(TRIM(SUBSTITUTE(AA11,CHAR(160),""))="Devis 1",IFERROR(VALUE(TRIM(SUBSTITUTE(N11,CHAR(160),""))),0),TRIM(SUBSTITUTE(AA11,CHAR(160),""))="Devis 2",IFERROR(VALUE(TRIM(SUBSTITUTE(S11,CHAR(160),""))),0),TRIM(SUBSTITUTE(AA11,CHAR(160),""))="Devis 3",IFERROR(VALUE(TRIM(SUBSTITUTE(X11,CHAR(160),""))),0),TRUE,0)*IFERROR(VALUE(TRIM(SUBSTITUTE(D11,CHAR(160),""))),0))</f>
        <v/>
      </c>
      <c r="AC11" s="275" t="str" cm="1">
        <f t="array" ref="AC11">IF(_xlfn.IFS(TRIM(SUBSTITUTE(AA11,CHAR(160),""))="Devis 1",IFERROR(VALUE(TRIM(SUBSTITUTE(O11,CHAR(160),""))),0),TRIM(SUBSTITUTE(AA11,CHAR(160),""))="Devis 2",IFERROR(VALUE(TRIM(SUBSTITUTE(T11,CHAR(160),""))),0),TRIM(SUBSTITUTE(AA11,CHAR(160),""))="Devis 3",IFERROR(VALUE(TRIM(SUBSTITUTE(Y11,CHAR(160),""))),0),TRUE,0)*IFERROR(VALUE(TRIM(SUBSTITUTE(D11,CHAR(160),""))),0)=0,IF(AB11&lt;&gt;"",0,""),_xlfn.IFS(TRIM(SUBSTITUTE(AA11,CHAR(160),""))="Devis 1",IFERROR(VALUE(TRIM(SUBSTITUTE(O11,CHAR(160),""))),0),TRIM(SUBSTITUTE(AA11,CHAR(160),""))="Devis 2",IFERROR(VALUE(TRIM(SUBSTITUTE(T11,CHAR(160),""))),0),TRIM(SUBSTITUTE(AA11,CHAR(160),""))="Devis 3",IFERROR(VALUE(TRIM(SUBSTITUTE(Y11,CHAR(160),""))),0),TRUE,0)*IFERROR(VALUE(TRIM(SUBSTITUTE(D11,CHAR(160),""))),0))</f>
        <v/>
      </c>
      <c r="AD11" s="285" t="str">
        <f t="shared" si="5"/>
        <v/>
      </c>
      <c r="AE11" s="26"/>
      <c r="AF11" s="109" t="str">
        <f t="shared" si="14"/>
        <v/>
      </c>
      <c r="AG11" s="109" t="str">
        <f t="shared" si="15"/>
        <v/>
      </c>
      <c r="AH11" s="885" t="str">
        <f t="shared" si="16"/>
        <v/>
      </c>
      <c r="AI11" s="109" t="str">
        <f t="shared" si="17"/>
        <v/>
      </c>
      <c r="AJ11" s="109" t="str">
        <f t="shared" si="18"/>
        <v/>
      </c>
      <c r="AK11" s="109" t="str">
        <f t="shared" si="19"/>
        <v/>
      </c>
      <c r="AL11" s="109" t="str">
        <f t="shared" si="20"/>
        <v/>
      </c>
      <c r="AM11" s="109" t="str">
        <f t="shared" si="21"/>
        <v/>
      </c>
      <c r="AN11" s="109" t="str">
        <f t="shared" si="22"/>
        <v/>
      </c>
      <c r="AO11" s="109" t="str">
        <f t="shared" si="23"/>
        <v/>
      </c>
      <c r="AP11" s="754" t="str">
        <f t="shared" si="24"/>
        <v/>
      </c>
      <c r="AQ11" s="755" t="str">
        <f t="shared" si="25"/>
        <v/>
      </c>
      <c r="AR11" s="195" t="str">
        <f t="shared" si="26"/>
        <v/>
      </c>
      <c r="AS11" s="195" t="str">
        <f t="shared" si="27"/>
        <v/>
      </c>
      <c r="AT11" s="664" t="str">
        <f t="shared" si="28"/>
        <v/>
      </c>
      <c r="AU11" s="756" t="str">
        <f t="shared" si="29"/>
        <v/>
      </c>
      <c r="AV11" s="195" t="str">
        <f t="shared" si="30"/>
        <v/>
      </c>
      <c r="AW11" s="195" t="str">
        <f t="shared" si="31"/>
        <v/>
      </c>
      <c r="AX11" s="195" t="str">
        <f t="shared" si="32"/>
        <v/>
      </c>
      <c r="AY11" s="728" t="str">
        <f t="shared" si="33"/>
        <v/>
      </c>
      <c r="AZ11" s="195" t="str">
        <f t="shared" si="34"/>
        <v/>
      </c>
      <c r="BA11" s="195" t="str">
        <f t="shared" si="35"/>
        <v/>
      </c>
      <c r="BB11" s="195" t="str">
        <f t="shared" si="36"/>
        <v/>
      </c>
      <c r="BC11" s="195" t="str">
        <f t="shared" si="37"/>
        <v/>
      </c>
      <c r="BD11" s="112" t="str">
        <f t="shared" si="38"/>
        <v/>
      </c>
      <c r="BE11" s="109" t="str">
        <f t="shared" si="39"/>
        <v/>
      </c>
      <c r="BF11" s="602"/>
      <c r="BG11" s="113" t="str">
        <f t="shared" si="40"/>
        <v/>
      </c>
      <c r="BH11" s="113" t="str">
        <f t="shared" si="41"/>
        <v/>
      </c>
      <c r="BI11" s="113" t="str">
        <f t="shared" si="42"/>
        <v/>
      </c>
      <c r="BJ11" s="281" t="str" cm="1">
        <f t="array" ref="BJ11">IF($AH11="","",
_xlfn.IFS(
$BE11="Devis 1",
IF(ISBLANK(AR11),"",IFERROR(VALUE(TRIM(SUBSTITUTE(AR11,CHAR(160),""))),0)*IFERROR(VALUE(TRIM(SUBSTITUTE($AH11,CHAR(160),""))),0)),
$BE11="Devis 2",
IF(ISBLANK(AW11),"",IFERROR(VALUE(TRIM(SUBSTITUTE(AW11,CHAR(160),""))),0)*IFERROR(VALUE(TRIM(SUBSTITUTE($AH11,CHAR(160),""))),0)),
$BE11="Devis 3",
IF(ISBLANK(BB11),"",IFERROR(VALUE(TRIM(SUBSTITUTE(BB11,CHAR(160),""))),0)*IFERROR(VALUE(TRIM(SUBSTITUTE($AH11,CHAR(160),""))),0)),
TRUE,0
)
)</f>
        <v/>
      </c>
      <c r="BK11" s="281" t="str" cm="1">
        <f t="array" ref="BK11">IF($AH11="","",
_xlfn.IFS(
$BE11="Devis 1",
IF(ISBLANK(AS11),"",IFERROR(VALUE(TRIM(SUBSTITUTE(AS11,CHAR(160),""))),0)*IFERROR(VALUE(TRIM(SUBSTITUTE($AH11,CHAR(160),""))),0)),
$BE11="Devis 2",
IF(ISBLANK(AX11),"",IFERROR(VALUE(TRIM(SUBSTITUTE(AX11,CHAR(160),""))),0)*IFERROR(VALUE(TRIM(SUBSTITUTE($AH11,CHAR(160),""))),0)),
$BE11="Devis 3",
IF(ISBLANK(BC11),"",IFERROR(VALUE(TRIM(SUBSTITUTE(BC11,CHAR(160),""))),0)*IFERROR(VALUE(TRIM(SUBSTITUTE($AH11,CHAR(160),""))),0)),
TRUE,0
)
)</f>
        <v/>
      </c>
      <c r="BL11" s="281" t="str">
        <f t="shared" si="43"/>
        <v/>
      </c>
      <c r="BM11" s="602"/>
      <c r="BN11" s="23" t="str" cm="1">
        <f t="array" ref="BN11">IF(OR(BL11="",BI11="",BJ11="",BG11="",BK11="",BH11=""),"",_xlfn.IFS(
ROUND(IFERROR(VALUE(TRIM(SUBSTITUTE(BL11,CHAR(160),""))),0),2)&gt;
ROUND(IFERROR(VALUE(TRIM(SUBSTITUTE(BI11,CHAR(160),""))),0),2),
"KO : Le montant retenu TTC est supérieur au montant raisonnable TTC. Merci de revoir la ligne de dépense ou plafonner son montant.",
ROUND(IFERROR(VALUE(TRIM(SUBSTITUTE(BJ11,CHAR(160),""))),0),2)&gt;
ROUND(IFERROR(VALUE(TRIM(SUBSTITUTE(BG11,CHAR(160),""))),0),2),
"Attention : Le montant retenu HT est supérieur au montant HT raisonnable. Merci de revoir la ligne de dépense, plafonner son montant, ou justifier la reventillation HT / TVA.",
ROUND(IFERROR(VALUE(TRIM(SUBSTITUTE(BK11,CHAR(160),""))),0),2)&gt;
ROUND(IFERROR(VALUE(TRIM(SUBSTITUTE(BH11,CHAR(160),""))),0),2),
"Attention : Le montant TVA retenu est supérieur au montant TVA raisonnable. Merci de revoir la ligne de dépense, plafonner son montant, ou justifier la reventillation HT / TVA.",
ROUND(IFERROR(VALUE(TRIM(SUBSTITUTE(BL11,CHAR(160),""))),0),2)&gt;
ROUND(IFERROR(VALUE(TRIM(SUBSTITUTE(MIN(P11,U11,Z11),CHAR(160),""))),0),2),
"Attention : Le devis retenu n'est pas le moins cher. Une justification de la part du porteur est nécessaire.",
ROUND(IFERROR(VALUE(TRIM(SUBSTITUTE(BL11,CHAR(160),""))),0),2)=0,
"Attention : montant présenté entièrement écarté",
ROUND(IFERROR(VALUE(TRIM(SUBSTITUTE(BI11,CHAR(160),""))),0),2)=
ROUND(IFERROR(VALUE(TRIM(SUBSTITUTE(BL11,CHAR(160),""))),0),2),
"OK",
ROUND(IFERROR(VALUE(TRIM(SUBSTITUTE(BI11,CHAR(160),""))),0),2)&gt;
ROUND(IFERROR(VALUE(TRIM(SUBSTITUTE(BL11,CHAR(160),""))),0),2),
" OK : Montant instruit inférieur au montant raisonnable.",
TRUE,""
))</f>
        <v/>
      </c>
      <c r="BO11" s="23" t="str" cm="1">
        <f t="array" ref="BO11">IF(OR(BL11="",AD11="",BJ11="",AB11="",BK11="",AC11=""),"",_xlfn.IFS(
ROUND(IFERROR(VALUE(TRIM(SUBSTITUTE(BL11,CHAR(160),""))),0),2)&gt;
ROUND(IFERROR(VALUE(TRIM(SUBSTITUTE(AD11,CHAR(160),""))),0),2),
"KO : Le montant retenu TTC est supérieur au montant présenté TTC. Merci de revoir la ligne de dépense ou plafonner son montant.",
ROUND(IFERROR(VALUE(TRIM(SUBSTITUTE(BJ11,CHAR(160),""))),0),2)&gt;
ROUND(IFERROR(VALUE(TRIM(SUBSTITUTE(AB11,CHAR(160),""))),0),2),
"Attention : Le montant retenu HT est supérieur au montant HT présenté. Merci de revoir la ligne de dépense, plafonner son montant, ou justifier la reventillation HT / TVA.",
ROUND(IFERROR(VALUE(TRIM(SUBSTITUTE(BK11,CHAR(160),""))),0),2)&gt;
ROUND(IFERROR(VALUE(TRIM(SUBSTITUTE(AC11,CHAR(160),""))),0),2),
"Attention : Le montant TVA retenu est supérieur au montant TVA présenté. Merci de revoir la ligne de dépense, plafonner son montant, ou justifier la reventillation HT / TVA.",
ROUND(IFERROR(VALUE(TRIM(SUBSTITUTE(AD11,CHAR(160),""))),0),2)=0,
"",
ROUND(IFERROR(VALUE(TRIM(SUBSTITUTE(BL11,CHAR(160),""))),0),2)=
ROUND(IFERROR(VALUE(TRIM(SUBSTITUTE(AD11,CHAR(160),""))),0),2),
"OK",
ROUND(IFERROR(VALUE(TRIM(SUBSTITUTE(BL11,CHAR(160),""))),0),2)=0,
"Attention : Montant présenté entièrement rejeté.",
ROUND(IFERROR(VALUE(TRIM(SUBSTITUTE(BL11,CHAR(160),""))),0),2)&lt;
ROUND(IFERROR(VALUE(TRIM(SUBSTITUTE(AD11,CHAR(160),""))),0),2),
"Attention : Montant présenté partiellement rejeté.",
TRUE,""
))</f>
        <v/>
      </c>
      <c r="BP11" s="113" t="str">
        <f t="shared" si="44"/>
        <v/>
      </c>
      <c r="BQ11" s="113" t="str">
        <f t="shared" si="45"/>
        <v/>
      </c>
      <c r="BR11" s="33" t="str">
        <f t="shared" si="46"/>
        <v/>
      </c>
      <c r="BS11" s="115"/>
    </row>
    <row r="12" spans="1:71" ht="15" customHeight="1">
      <c r="A12" s="193">
        <v>4</v>
      </c>
      <c r="B12" s="7"/>
      <c r="C12" s="7"/>
      <c r="D12" s="19"/>
      <c r="E12" s="7"/>
      <c r="F12" s="7"/>
      <c r="G12" s="7"/>
      <c r="H12" s="7"/>
      <c r="I12" s="28"/>
      <c r="J12" s="7"/>
      <c r="K12" s="29"/>
      <c r="L12" s="678"/>
      <c r="M12" s="7"/>
      <c r="N12" s="672"/>
      <c r="O12" s="11"/>
      <c r="P12" s="107" t="str">
        <f t="shared" ref="P12:P73" si="48">IF(OR(N12="", O12=""), "", IFERROR(VALUE(TRIM(SUBSTITUTE(N12,CHAR(160),""))),0) + IFERROR(VALUE(TRIM(SUBSTITUTE(O12,CHAR(160),""))),0))</f>
        <v/>
      </c>
      <c r="Q12" s="699"/>
      <c r="R12" s="702"/>
      <c r="S12" s="684"/>
      <c r="T12" s="11"/>
      <c r="U12" s="107" t="str">
        <f t="shared" si="4"/>
        <v/>
      </c>
      <c r="V12" s="695"/>
      <c r="W12" s="685"/>
      <c r="X12" s="707"/>
      <c r="Y12" s="684"/>
      <c r="Z12" s="108" t="str">
        <f t="shared" si="47"/>
        <v/>
      </c>
      <c r="AA12" s="25"/>
      <c r="AB12" s="287" t="str" cm="1">
        <f t="array" ref="AB12">IF((_xlfn.IFS(TRIM(SUBSTITUTE(AA12,CHAR(160),""))="Devis 1",IFERROR(VALUE(TRIM(SUBSTITUTE(N12,CHAR(160),""))),0),TRIM(SUBSTITUTE(AA12,CHAR(160),""))="Devis 2",IFERROR(VALUE(TRIM(SUBSTITUTE(S12,CHAR(160),""))),0),TRIM(SUBSTITUTE(AA12,CHAR(160),""))="Devis 3",IFERROR(VALUE(TRIM(SUBSTITUTE(X12,CHAR(160),""))),0),TRUE,0)*IFERROR(VALUE(TRIM(SUBSTITUTE(D12,CHAR(160),""))),0))=0,"",_xlfn.IFS(TRIM(SUBSTITUTE(AA12,CHAR(160),""))="Devis 1",IFERROR(VALUE(TRIM(SUBSTITUTE(N12,CHAR(160),""))),0),TRIM(SUBSTITUTE(AA12,CHAR(160),""))="Devis 2",IFERROR(VALUE(TRIM(SUBSTITUTE(S12,CHAR(160),""))),0),TRIM(SUBSTITUTE(AA12,CHAR(160),""))="Devis 3",IFERROR(VALUE(TRIM(SUBSTITUTE(X12,CHAR(160),""))),0),TRUE,0)*IFERROR(VALUE(TRIM(SUBSTITUTE(D12,CHAR(160),""))),0))</f>
        <v/>
      </c>
      <c r="AC12" s="275" t="str" cm="1">
        <f t="array" ref="AC12">IF(_xlfn.IFS(TRIM(SUBSTITUTE(AA12,CHAR(160),""))="Devis 1",IFERROR(VALUE(TRIM(SUBSTITUTE(O12,CHAR(160),""))),0),TRIM(SUBSTITUTE(AA12,CHAR(160),""))="Devis 2",IFERROR(VALUE(TRIM(SUBSTITUTE(T12,CHAR(160),""))),0),TRIM(SUBSTITUTE(AA12,CHAR(160),""))="Devis 3",IFERROR(VALUE(TRIM(SUBSTITUTE(Y12,CHAR(160),""))),0),TRUE,0)*IFERROR(VALUE(TRIM(SUBSTITUTE(D12,CHAR(160),""))),0)=0,IF(AB12&lt;&gt;"",0,""),_xlfn.IFS(TRIM(SUBSTITUTE(AA12,CHAR(160),""))="Devis 1",IFERROR(VALUE(TRIM(SUBSTITUTE(O12,CHAR(160),""))),0),TRIM(SUBSTITUTE(AA12,CHAR(160),""))="Devis 2",IFERROR(VALUE(TRIM(SUBSTITUTE(T12,CHAR(160),""))),0),TRIM(SUBSTITUTE(AA12,CHAR(160),""))="Devis 3",IFERROR(VALUE(TRIM(SUBSTITUTE(Y12,CHAR(160),""))),0),TRUE,0)*IFERROR(VALUE(TRIM(SUBSTITUTE(D12,CHAR(160),""))),0))</f>
        <v/>
      </c>
      <c r="AD12" s="285" t="str">
        <f t="shared" si="5"/>
        <v/>
      </c>
      <c r="AE12" s="26"/>
      <c r="AF12" s="109" t="str">
        <f t="shared" si="14"/>
        <v/>
      </c>
      <c r="AG12" s="109" t="str">
        <f t="shared" si="15"/>
        <v/>
      </c>
      <c r="AH12" s="885" t="str">
        <f t="shared" si="16"/>
        <v/>
      </c>
      <c r="AI12" s="109" t="str">
        <f t="shared" si="17"/>
        <v/>
      </c>
      <c r="AJ12" s="109" t="str">
        <f t="shared" si="18"/>
        <v/>
      </c>
      <c r="AK12" s="109" t="str">
        <f t="shared" si="19"/>
        <v/>
      </c>
      <c r="AL12" s="109" t="str">
        <f t="shared" si="20"/>
        <v/>
      </c>
      <c r="AM12" s="109" t="str">
        <f t="shared" si="21"/>
        <v/>
      </c>
      <c r="AN12" s="109" t="str">
        <f t="shared" si="22"/>
        <v/>
      </c>
      <c r="AO12" s="109" t="str">
        <f t="shared" si="23"/>
        <v/>
      </c>
      <c r="AP12" s="754" t="str">
        <f t="shared" si="24"/>
        <v/>
      </c>
      <c r="AQ12" s="755" t="str">
        <f t="shared" si="25"/>
        <v/>
      </c>
      <c r="AR12" s="195" t="str">
        <f t="shared" si="26"/>
        <v/>
      </c>
      <c r="AS12" s="195" t="str">
        <f t="shared" si="27"/>
        <v/>
      </c>
      <c r="AT12" s="664" t="str">
        <f t="shared" si="28"/>
        <v/>
      </c>
      <c r="AU12" s="756" t="str">
        <f t="shared" si="29"/>
        <v/>
      </c>
      <c r="AV12" s="195" t="str">
        <f t="shared" si="30"/>
        <v/>
      </c>
      <c r="AW12" s="195" t="str">
        <f t="shared" si="31"/>
        <v/>
      </c>
      <c r="AX12" s="195" t="str">
        <f t="shared" si="32"/>
        <v/>
      </c>
      <c r="AY12" s="728" t="str">
        <f t="shared" si="33"/>
        <v/>
      </c>
      <c r="AZ12" s="195" t="str">
        <f t="shared" si="34"/>
        <v/>
      </c>
      <c r="BA12" s="195" t="str">
        <f t="shared" si="35"/>
        <v/>
      </c>
      <c r="BB12" s="195" t="str">
        <f t="shared" si="36"/>
        <v/>
      </c>
      <c r="BC12" s="195" t="str">
        <f t="shared" si="37"/>
        <v/>
      </c>
      <c r="BD12" s="112" t="str">
        <f t="shared" si="38"/>
        <v/>
      </c>
      <c r="BE12" s="109" t="str">
        <f t="shared" si="39"/>
        <v/>
      </c>
      <c r="BF12" s="602"/>
      <c r="BG12" s="113" t="str">
        <f t="shared" si="40"/>
        <v/>
      </c>
      <c r="BH12" s="113" t="str">
        <f t="shared" si="41"/>
        <v/>
      </c>
      <c r="BI12" s="113" t="str">
        <f t="shared" si="42"/>
        <v/>
      </c>
      <c r="BJ12" s="281" t="str" cm="1">
        <f t="array" ref="BJ12">IF($AH12="","",
_xlfn.IFS(
$BE12="Devis 1",
IF(ISBLANK(AR12),"",IFERROR(VALUE(TRIM(SUBSTITUTE(AR12,CHAR(160),""))),0)*IFERROR(VALUE(TRIM(SUBSTITUTE($AH12,CHAR(160),""))),0)),
$BE12="Devis 2",
IF(ISBLANK(AW12),"",IFERROR(VALUE(TRIM(SUBSTITUTE(AW12,CHAR(160),""))),0)*IFERROR(VALUE(TRIM(SUBSTITUTE($AH12,CHAR(160),""))),0)),
$BE12="Devis 3",
IF(ISBLANK(BB12),"",IFERROR(VALUE(TRIM(SUBSTITUTE(BB12,CHAR(160),""))),0)*IFERROR(VALUE(TRIM(SUBSTITUTE($AH12,CHAR(160),""))),0)),
TRUE,0
)
)</f>
        <v/>
      </c>
      <c r="BK12" s="281" t="str" cm="1">
        <f t="array" ref="BK12">IF($AH12="","",
_xlfn.IFS(
$BE12="Devis 1",
IF(ISBLANK(AS12),"",IFERROR(VALUE(TRIM(SUBSTITUTE(AS12,CHAR(160),""))),0)*IFERROR(VALUE(TRIM(SUBSTITUTE($AH12,CHAR(160),""))),0)),
$BE12="Devis 2",
IF(ISBLANK(AX12),"",IFERROR(VALUE(TRIM(SUBSTITUTE(AX12,CHAR(160),""))),0)*IFERROR(VALUE(TRIM(SUBSTITUTE($AH12,CHAR(160),""))),0)),
$BE12="Devis 3",
IF(ISBLANK(BC12),"",IFERROR(VALUE(TRIM(SUBSTITUTE(BC12,CHAR(160),""))),0)*IFERROR(VALUE(TRIM(SUBSTITUTE($AH12,CHAR(160),""))),0)),
TRUE,0
)
)</f>
        <v/>
      </c>
      <c r="BL12" s="281" t="str">
        <f t="shared" si="43"/>
        <v/>
      </c>
      <c r="BM12" s="602"/>
      <c r="BN12" s="23" t="str" cm="1">
        <f t="array" ref="BN12">IF(OR(BL12="",BI12="",BJ12="",BG12="",BK12="",BH12=""),"",_xlfn.IFS(
ROUND(IFERROR(VALUE(TRIM(SUBSTITUTE(BL12,CHAR(160),""))),0),2)&gt;
ROUND(IFERROR(VALUE(TRIM(SUBSTITUTE(BI12,CHAR(160),""))),0),2),
"KO : Le montant retenu TTC est supérieur au montant raisonnable TTC. Merci de revoir la ligne de dépense ou plafonner son montant.",
ROUND(IFERROR(VALUE(TRIM(SUBSTITUTE(BJ12,CHAR(160),""))),0),2)&gt;
ROUND(IFERROR(VALUE(TRIM(SUBSTITUTE(BG12,CHAR(160),""))),0),2),
"Attention : Le montant retenu HT est supérieur au montant HT raisonnable. Merci de revoir la ligne de dépense, plafonner son montant, ou justifier la reventillation HT / TVA.",
ROUND(IFERROR(VALUE(TRIM(SUBSTITUTE(BK12,CHAR(160),""))),0),2)&gt;
ROUND(IFERROR(VALUE(TRIM(SUBSTITUTE(BH12,CHAR(160),""))),0),2),
"Attention : Le montant TVA retenu est supérieur au montant TVA raisonnable. Merci de revoir la ligne de dépense, plafonner son montant, ou justifier la reventillation HT / TVA.",
ROUND(IFERROR(VALUE(TRIM(SUBSTITUTE(BL12,CHAR(160),""))),0),2)&gt;
ROUND(IFERROR(VALUE(TRIM(SUBSTITUTE(MIN(P12,U12,Z12),CHAR(160),""))),0),2),
"Attention : Le devis retenu n'est pas le moins cher. Une justification de la part du porteur est nécessaire.",
ROUND(IFERROR(VALUE(TRIM(SUBSTITUTE(BL12,CHAR(160),""))),0),2)=0,
"Attention : montant présenté entièrement écarté",
ROUND(IFERROR(VALUE(TRIM(SUBSTITUTE(BI12,CHAR(160),""))),0),2)=
ROUND(IFERROR(VALUE(TRIM(SUBSTITUTE(BL12,CHAR(160),""))),0),2),
"OK",
ROUND(IFERROR(VALUE(TRIM(SUBSTITUTE(BI12,CHAR(160),""))),0),2)&gt;
ROUND(IFERROR(VALUE(TRIM(SUBSTITUTE(BL12,CHAR(160),""))),0),2),
" OK : Montant instruit inférieur au montant raisonnable.",
TRUE,""
))</f>
        <v/>
      </c>
      <c r="BO12" s="23" t="str" cm="1">
        <f t="array" ref="BO12">IF(OR(BL12="",AD12="",BJ12="",AB12="",BK12="",AC12=""),"",_xlfn.IFS(
ROUND(IFERROR(VALUE(TRIM(SUBSTITUTE(BL12,CHAR(160),""))),0),2)&gt;
ROUND(IFERROR(VALUE(TRIM(SUBSTITUTE(AD12,CHAR(160),""))),0),2),
"KO : Le montant retenu TTC est supérieur au montant présenté TTC. Merci de revoir la ligne de dépense ou plafonner son montant.",
ROUND(IFERROR(VALUE(TRIM(SUBSTITUTE(BJ12,CHAR(160),""))),0),2)&gt;
ROUND(IFERROR(VALUE(TRIM(SUBSTITUTE(AB12,CHAR(160),""))),0),2),
"Attention : Le montant retenu HT est supérieur au montant HT présenté. Merci de revoir la ligne de dépense, plafonner son montant, ou justifier la reventillation HT / TVA.",
ROUND(IFERROR(VALUE(TRIM(SUBSTITUTE(BK12,CHAR(160),""))),0),2)&gt;
ROUND(IFERROR(VALUE(TRIM(SUBSTITUTE(AC12,CHAR(160),""))),0),2),
"Attention : Le montant TVA retenu est supérieur au montant TVA présenté. Merci de revoir la ligne de dépense, plafonner son montant, ou justifier la reventillation HT / TVA.",
ROUND(IFERROR(VALUE(TRIM(SUBSTITUTE(AD12,CHAR(160),""))),0),2)=0,
"",
ROUND(IFERROR(VALUE(TRIM(SUBSTITUTE(BL12,CHAR(160),""))),0),2)=
ROUND(IFERROR(VALUE(TRIM(SUBSTITUTE(AD12,CHAR(160),""))),0),2),
"OK",
ROUND(IFERROR(VALUE(TRIM(SUBSTITUTE(BL12,CHAR(160),""))),0),2)=0,
"Attention : Montant présenté entièrement rejeté.",
ROUND(IFERROR(VALUE(TRIM(SUBSTITUTE(BL12,CHAR(160),""))),0),2)&lt;
ROUND(IFERROR(VALUE(TRIM(SUBSTITUTE(AD12,CHAR(160),""))),0),2),
"Attention : Montant présenté partiellement rejeté.",
TRUE,""
))</f>
        <v/>
      </c>
      <c r="BP12" s="113" t="str">
        <f t="shared" si="44"/>
        <v/>
      </c>
      <c r="BQ12" s="113" t="str">
        <f t="shared" si="45"/>
        <v/>
      </c>
      <c r="BR12" s="33" t="str">
        <f t="shared" si="46"/>
        <v/>
      </c>
      <c r="BS12" s="115"/>
    </row>
    <row r="13" spans="1:71" ht="15" customHeight="1">
      <c r="A13" s="193">
        <v>5</v>
      </c>
      <c r="B13" s="7"/>
      <c r="C13" s="7"/>
      <c r="D13" s="19"/>
      <c r="E13" s="7"/>
      <c r="F13" s="7"/>
      <c r="G13" s="7"/>
      <c r="H13" s="7"/>
      <c r="I13" s="28"/>
      <c r="J13" s="7"/>
      <c r="K13" s="29"/>
      <c r="L13" s="678"/>
      <c r="M13" s="7"/>
      <c r="N13" s="672"/>
      <c r="O13" s="11"/>
      <c r="P13" s="107" t="str">
        <f t="shared" si="48"/>
        <v/>
      </c>
      <c r="Q13" s="699"/>
      <c r="R13" s="702"/>
      <c r="S13" s="684"/>
      <c r="T13" s="11"/>
      <c r="U13" s="107" t="str">
        <f t="shared" ref="U13:U73" si="49">IF(OR(S13="", T13=""), "", IFERROR(VALUE(TRIM(SUBSTITUTE(S13,CHAR(160),""))),0) + IFERROR(VALUE(TRIM(SUBSTITUTE(T13,CHAR(160),""))),0))</f>
        <v/>
      </c>
      <c r="V13" s="695"/>
      <c r="W13" s="685"/>
      <c r="X13" s="707"/>
      <c r="Y13" s="684"/>
      <c r="Z13" s="108" t="str">
        <f t="shared" si="47"/>
        <v/>
      </c>
      <c r="AA13" s="25"/>
      <c r="AB13" s="287" t="str" cm="1">
        <f t="array" ref="AB13">IF((_xlfn.IFS(TRIM(SUBSTITUTE(AA13,CHAR(160),""))="Devis 1",IFERROR(VALUE(TRIM(SUBSTITUTE(N13,CHAR(160),""))),0),TRIM(SUBSTITUTE(AA13,CHAR(160),""))="Devis 2",IFERROR(VALUE(TRIM(SUBSTITUTE(S13,CHAR(160),""))),0),TRIM(SUBSTITUTE(AA13,CHAR(160),""))="Devis 3",IFERROR(VALUE(TRIM(SUBSTITUTE(X13,CHAR(160),""))),0),TRUE,0)*IFERROR(VALUE(TRIM(SUBSTITUTE(D13,CHAR(160),""))),0))=0,"",_xlfn.IFS(TRIM(SUBSTITUTE(AA13,CHAR(160),""))="Devis 1",IFERROR(VALUE(TRIM(SUBSTITUTE(N13,CHAR(160),""))),0),TRIM(SUBSTITUTE(AA13,CHAR(160),""))="Devis 2",IFERROR(VALUE(TRIM(SUBSTITUTE(S13,CHAR(160),""))),0),TRIM(SUBSTITUTE(AA13,CHAR(160),""))="Devis 3",IFERROR(VALUE(TRIM(SUBSTITUTE(X13,CHAR(160),""))),0),TRUE,0)*IFERROR(VALUE(TRIM(SUBSTITUTE(D13,CHAR(160),""))),0))</f>
        <v/>
      </c>
      <c r="AC13" s="275" t="str" cm="1">
        <f t="array" ref="AC13">IF(_xlfn.IFS(TRIM(SUBSTITUTE(AA13,CHAR(160),""))="Devis 1",IFERROR(VALUE(TRIM(SUBSTITUTE(O13,CHAR(160),""))),0),TRIM(SUBSTITUTE(AA13,CHAR(160),""))="Devis 2",IFERROR(VALUE(TRIM(SUBSTITUTE(T13,CHAR(160),""))),0),TRIM(SUBSTITUTE(AA13,CHAR(160),""))="Devis 3",IFERROR(VALUE(TRIM(SUBSTITUTE(Y13,CHAR(160),""))),0),TRUE,0)*IFERROR(VALUE(TRIM(SUBSTITUTE(D13,CHAR(160),""))),0)=0,IF(AB13&lt;&gt;"",0,""),_xlfn.IFS(TRIM(SUBSTITUTE(AA13,CHAR(160),""))="Devis 1",IFERROR(VALUE(TRIM(SUBSTITUTE(O13,CHAR(160),""))),0),TRIM(SUBSTITUTE(AA13,CHAR(160),""))="Devis 2",IFERROR(VALUE(TRIM(SUBSTITUTE(T13,CHAR(160),""))),0),TRIM(SUBSTITUTE(AA13,CHAR(160),""))="Devis 3",IFERROR(VALUE(TRIM(SUBSTITUTE(Y13,CHAR(160),""))),0),TRUE,0)*IFERROR(VALUE(TRIM(SUBSTITUTE(D13,CHAR(160),""))),0))</f>
        <v/>
      </c>
      <c r="AD13" s="285" t="str">
        <f t="shared" si="5"/>
        <v/>
      </c>
      <c r="AE13" s="26"/>
      <c r="AF13" s="109" t="str">
        <f t="shared" si="14"/>
        <v/>
      </c>
      <c r="AG13" s="109" t="str">
        <f t="shared" si="15"/>
        <v/>
      </c>
      <c r="AH13" s="885" t="str">
        <f t="shared" si="16"/>
        <v/>
      </c>
      <c r="AI13" s="109" t="str">
        <f t="shared" si="17"/>
        <v/>
      </c>
      <c r="AJ13" s="109" t="str">
        <f t="shared" si="18"/>
        <v/>
      </c>
      <c r="AK13" s="109" t="str">
        <f t="shared" si="19"/>
        <v/>
      </c>
      <c r="AL13" s="109" t="str">
        <f t="shared" si="20"/>
        <v/>
      </c>
      <c r="AM13" s="109" t="str">
        <f t="shared" si="21"/>
        <v/>
      </c>
      <c r="AN13" s="109" t="str">
        <f t="shared" si="22"/>
        <v/>
      </c>
      <c r="AO13" s="109" t="str">
        <f t="shared" si="23"/>
        <v/>
      </c>
      <c r="AP13" s="754" t="str">
        <f t="shared" si="24"/>
        <v/>
      </c>
      <c r="AQ13" s="755" t="str">
        <f t="shared" si="25"/>
        <v/>
      </c>
      <c r="AR13" s="195" t="str">
        <f t="shared" si="26"/>
        <v/>
      </c>
      <c r="AS13" s="195" t="str">
        <f t="shared" si="27"/>
        <v/>
      </c>
      <c r="AT13" s="664" t="str">
        <f t="shared" si="28"/>
        <v/>
      </c>
      <c r="AU13" s="756" t="str">
        <f t="shared" si="29"/>
        <v/>
      </c>
      <c r="AV13" s="195" t="str">
        <f t="shared" si="30"/>
        <v/>
      </c>
      <c r="AW13" s="195" t="str">
        <f t="shared" si="31"/>
        <v/>
      </c>
      <c r="AX13" s="195" t="str">
        <f t="shared" si="32"/>
        <v/>
      </c>
      <c r="AY13" s="728" t="str">
        <f t="shared" si="33"/>
        <v/>
      </c>
      <c r="AZ13" s="195" t="str">
        <f t="shared" si="34"/>
        <v/>
      </c>
      <c r="BA13" s="195" t="str">
        <f t="shared" si="35"/>
        <v/>
      </c>
      <c r="BB13" s="195" t="str">
        <f t="shared" si="36"/>
        <v/>
      </c>
      <c r="BC13" s="195" t="str">
        <f t="shared" si="37"/>
        <v/>
      </c>
      <c r="BD13" s="112" t="str">
        <f t="shared" si="38"/>
        <v/>
      </c>
      <c r="BE13" s="109" t="str">
        <f t="shared" si="39"/>
        <v/>
      </c>
      <c r="BF13" s="602"/>
      <c r="BG13" s="113" t="str">
        <f t="shared" si="40"/>
        <v/>
      </c>
      <c r="BH13" s="113" t="str">
        <f t="shared" si="41"/>
        <v/>
      </c>
      <c r="BI13" s="113" t="str">
        <f t="shared" si="42"/>
        <v/>
      </c>
      <c r="BJ13" s="281" t="str" cm="1">
        <f t="array" ref="BJ13">IF($AH13="","",
_xlfn.IFS(
$BE13="Devis 1",
IF(ISBLANK(AR13),"",IFERROR(VALUE(TRIM(SUBSTITUTE(AR13,CHAR(160),""))),0)*IFERROR(VALUE(TRIM(SUBSTITUTE($AH13,CHAR(160),""))),0)),
$BE13="Devis 2",
IF(ISBLANK(AW13),"",IFERROR(VALUE(TRIM(SUBSTITUTE(AW13,CHAR(160),""))),0)*IFERROR(VALUE(TRIM(SUBSTITUTE($AH13,CHAR(160),""))),0)),
$BE13="Devis 3",
IF(ISBLANK(BB13),"",IFERROR(VALUE(TRIM(SUBSTITUTE(BB13,CHAR(160),""))),0)*IFERROR(VALUE(TRIM(SUBSTITUTE($AH13,CHAR(160),""))),0)),
TRUE,0
)
)</f>
        <v/>
      </c>
      <c r="BK13" s="281" t="str" cm="1">
        <f t="array" ref="BK13">IF($AH13="","",
_xlfn.IFS(
$BE13="Devis 1",
IF(ISBLANK(AS13),"",IFERROR(VALUE(TRIM(SUBSTITUTE(AS13,CHAR(160),""))),0)*IFERROR(VALUE(TRIM(SUBSTITUTE($AH13,CHAR(160),""))),0)),
$BE13="Devis 2",
IF(ISBLANK(AX13),"",IFERROR(VALUE(TRIM(SUBSTITUTE(AX13,CHAR(160),""))),0)*IFERROR(VALUE(TRIM(SUBSTITUTE($AH13,CHAR(160),""))),0)),
$BE13="Devis 3",
IF(ISBLANK(BC13),"",IFERROR(VALUE(TRIM(SUBSTITUTE(BC13,CHAR(160),""))),0)*IFERROR(VALUE(TRIM(SUBSTITUTE($AH13,CHAR(160),""))),0)),
TRUE,0
)
)</f>
        <v/>
      </c>
      <c r="BL13" s="281" t="str">
        <f t="shared" si="43"/>
        <v/>
      </c>
      <c r="BM13" s="602"/>
      <c r="BN13" s="23" t="str" cm="1">
        <f t="array" ref="BN13">IF(OR(BL13="",BI13="",BJ13="",BG13="",BK13="",BH13=""),"",_xlfn.IFS(
ROUND(IFERROR(VALUE(TRIM(SUBSTITUTE(BL13,CHAR(160),""))),0),2)&gt;
ROUND(IFERROR(VALUE(TRIM(SUBSTITUTE(BI13,CHAR(160),""))),0),2),
"KO : Le montant retenu TTC est supérieur au montant raisonnable TTC. Merci de revoir la ligne de dépense ou plafonner son montant.",
ROUND(IFERROR(VALUE(TRIM(SUBSTITUTE(BJ13,CHAR(160),""))),0),2)&gt;
ROUND(IFERROR(VALUE(TRIM(SUBSTITUTE(BG13,CHAR(160),""))),0),2),
"Attention : Le montant retenu HT est supérieur au montant HT raisonnable. Merci de revoir la ligne de dépense, plafonner son montant, ou justifier la reventillation HT / TVA.",
ROUND(IFERROR(VALUE(TRIM(SUBSTITUTE(BK13,CHAR(160),""))),0),2)&gt;
ROUND(IFERROR(VALUE(TRIM(SUBSTITUTE(BH13,CHAR(160),""))),0),2),
"Attention : Le montant TVA retenu est supérieur au montant TVA raisonnable. Merci de revoir la ligne de dépense, plafonner son montant, ou justifier la reventillation HT / TVA.",
ROUND(IFERROR(VALUE(TRIM(SUBSTITUTE(BL13,CHAR(160),""))),0),2)&gt;
ROUND(IFERROR(VALUE(TRIM(SUBSTITUTE(MIN(P13,U13,Z13),CHAR(160),""))),0),2),
"Attention : Le devis retenu n'est pas le moins cher. Une justification de la part du porteur est nécessaire.",
ROUND(IFERROR(VALUE(TRIM(SUBSTITUTE(BL13,CHAR(160),""))),0),2)=0,
"Attention : montant présenté entièrement écarté",
ROUND(IFERROR(VALUE(TRIM(SUBSTITUTE(BI13,CHAR(160),""))),0),2)=
ROUND(IFERROR(VALUE(TRIM(SUBSTITUTE(BL13,CHAR(160),""))),0),2),
"OK",
ROUND(IFERROR(VALUE(TRIM(SUBSTITUTE(BI13,CHAR(160),""))),0),2)&gt;
ROUND(IFERROR(VALUE(TRIM(SUBSTITUTE(BL13,CHAR(160),""))),0),2),
" OK : Montant instruit inférieur au montant raisonnable.",
TRUE,""
))</f>
        <v/>
      </c>
      <c r="BO13" s="23" t="str" cm="1">
        <f t="array" ref="BO13">IF(OR(BL13="",AD13="",BJ13="",AB13="",BK13="",AC13=""),"",_xlfn.IFS(
ROUND(IFERROR(VALUE(TRIM(SUBSTITUTE(BL13,CHAR(160),""))),0),2)&gt;
ROUND(IFERROR(VALUE(TRIM(SUBSTITUTE(AD13,CHAR(160),""))),0),2),
"KO : Le montant retenu TTC est supérieur au montant présenté TTC. Merci de revoir la ligne de dépense ou plafonner son montant.",
ROUND(IFERROR(VALUE(TRIM(SUBSTITUTE(BJ13,CHAR(160),""))),0),2)&gt;
ROUND(IFERROR(VALUE(TRIM(SUBSTITUTE(AB13,CHAR(160),""))),0),2),
"Attention : Le montant retenu HT est supérieur au montant HT présenté. Merci de revoir la ligne de dépense, plafonner son montant, ou justifier la reventillation HT / TVA.",
ROUND(IFERROR(VALUE(TRIM(SUBSTITUTE(BK13,CHAR(160),""))),0),2)&gt;
ROUND(IFERROR(VALUE(TRIM(SUBSTITUTE(AC13,CHAR(160),""))),0),2),
"Attention : Le montant TVA retenu est supérieur au montant TVA présenté. Merci de revoir la ligne de dépense, plafonner son montant, ou justifier la reventillation HT / TVA.",
ROUND(IFERROR(VALUE(TRIM(SUBSTITUTE(AD13,CHAR(160),""))),0),2)=0,
"",
ROUND(IFERROR(VALUE(TRIM(SUBSTITUTE(BL13,CHAR(160),""))),0),2)=
ROUND(IFERROR(VALUE(TRIM(SUBSTITUTE(AD13,CHAR(160),""))),0),2),
"OK",
ROUND(IFERROR(VALUE(TRIM(SUBSTITUTE(BL13,CHAR(160),""))),0),2)=0,
"Attention : Montant présenté entièrement rejeté.",
ROUND(IFERROR(VALUE(TRIM(SUBSTITUTE(BL13,CHAR(160),""))),0),2)&lt;
ROUND(IFERROR(VALUE(TRIM(SUBSTITUTE(AD13,CHAR(160),""))),0),2),
"Attention : Montant présenté partiellement rejeté.",
TRUE,""
))</f>
        <v/>
      </c>
      <c r="BP13" s="113" t="str">
        <f t="shared" si="44"/>
        <v/>
      </c>
      <c r="BQ13" s="113" t="str">
        <f t="shared" si="45"/>
        <v/>
      </c>
      <c r="BR13" s="33" t="str">
        <f t="shared" si="46"/>
        <v/>
      </c>
      <c r="BS13" s="115"/>
    </row>
    <row r="14" spans="1:71" ht="15" customHeight="1">
      <c r="A14" s="193">
        <v>6</v>
      </c>
      <c r="B14" s="7"/>
      <c r="C14" s="7"/>
      <c r="D14" s="19"/>
      <c r="E14" s="7"/>
      <c r="F14" s="7"/>
      <c r="G14" s="7"/>
      <c r="H14" s="7"/>
      <c r="I14" s="28"/>
      <c r="J14" s="7"/>
      <c r="K14" s="29"/>
      <c r="L14" s="678"/>
      <c r="M14" s="7"/>
      <c r="N14" s="672"/>
      <c r="O14" s="11"/>
      <c r="P14" s="107" t="str">
        <f t="shared" si="48"/>
        <v/>
      </c>
      <c r="Q14" s="699"/>
      <c r="R14" s="702"/>
      <c r="S14" s="684"/>
      <c r="T14" s="11"/>
      <c r="U14" s="107" t="str">
        <f t="shared" si="49"/>
        <v/>
      </c>
      <c r="V14" s="695"/>
      <c r="W14" s="685"/>
      <c r="X14" s="707"/>
      <c r="Y14" s="684"/>
      <c r="Z14" s="108" t="str">
        <f t="shared" ref="Z14:Z73" si="50">IF(OR(X14="", Y14=""), "", IFERROR(VALUE(TRIM(SUBSTITUTE(X14,CHAR(160),""))),0) + IFERROR(VALUE(TRIM(SUBSTITUTE(Y14,CHAR(160),""))),0))</f>
        <v/>
      </c>
      <c r="AA14" s="25"/>
      <c r="AB14" s="287" t="str" cm="1">
        <f t="array" ref="AB14">IF((_xlfn.IFS(TRIM(SUBSTITUTE(AA14,CHAR(160),""))="Devis 1",IFERROR(VALUE(TRIM(SUBSTITUTE(N14,CHAR(160),""))),0),TRIM(SUBSTITUTE(AA14,CHAR(160),""))="Devis 2",IFERROR(VALUE(TRIM(SUBSTITUTE(S14,CHAR(160),""))),0),TRIM(SUBSTITUTE(AA14,CHAR(160),""))="Devis 3",IFERROR(VALUE(TRIM(SUBSTITUTE(X14,CHAR(160),""))),0),TRUE,0)*IFERROR(VALUE(TRIM(SUBSTITUTE(D14,CHAR(160),""))),0))=0,"",_xlfn.IFS(TRIM(SUBSTITUTE(AA14,CHAR(160),""))="Devis 1",IFERROR(VALUE(TRIM(SUBSTITUTE(N14,CHAR(160),""))),0),TRIM(SUBSTITUTE(AA14,CHAR(160),""))="Devis 2",IFERROR(VALUE(TRIM(SUBSTITUTE(S14,CHAR(160),""))),0),TRIM(SUBSTITUTE(AA14,CHAR(160),""))="Devis 3",IFERROR(VALUE(TRIM(SUBSTITUTE(X14,CHAR(160),""))),0),TRUE,0)*IFERROR(VALUE(TRIM(SUBSTITUTE(D14,CHAR(160),""))),0))</f>
        <v/>
      </c>
      <c r="AC14" s="275" t="str" cm="1">
        <f t="array" ref="AC14">IF(_xlfn.IFS(TRIM(SUBSTITUTE(AA14,CHAR(160),""))="Devis 1",IFERROR(VALUE(TRIM(SUBSTITUTE(O14,CHAR(160),""))),0),TRIM(SUBSTITUTE(AA14,CHAR(160),""))="Devis 2",IFERROR(VALUE(TRIM(SUBSTITUTE(T14,CHAR(160),""))),0),TRIM(SUBSTITUTE(AA14,CHAR(160),""))="Devis 3",IFERROR(VALUE(TRIM(SUBSTITUTE(Y14,CHAR(160),""))),0),TRUE,0)*IFERROR(VALUE(TRIM(SUBSTITUTE(D14,CHAR(160),""))),0)=0,IF(AB14&lt;&gt;"",0,""),_xlfn.IFS(TRIM(SUBSTITUTE(AA14,CHAR(160),""))="Devis 1",IFERROR(VALUE(TRIM(SUBSTITUTE(O14,CHAR(160),""))),0),TRIM(SUBSTITUTE(AA14,CHAR(160),""))="Devis 2",IFERROR(VALUE(TRIM(SUBSTITUTE(T14,CHAR(160),""))),0),TRIM(SUBSTITUTE(AA14,CHAR(160),""))="Devis 3",IFERROR(VALUE(TRIM(SUBSTITUTE(Y14,CHAR(160),""))),0),TRUE,0)*IFERROR(VALUE(TRIM(SUBSTITUTE(D14,CHAR(160),""))),0))</f>
        <v/>
      </c>
      <c r="AD14" s="285" t="str">
        <f t="shared" ref="AD14:AD74" si="51">IF(OR(AB14="", AC14=""), "", IFERROR(VALUE(TRIM(SUBSTITUTE(AB14,CHAR(160),""))),0) + IFERROR(VALUE(TRIM(SUBSTITUTE(AC14,CHAR(160),""))),0))</f>
        <v/>
      </c>
      <c r="AE14" s="26"/>
      <c r="AF14" s="109" t="str">
        <f t="shared" si="14"/>
        <v/>
      </c>
      <c r="AG14" s="109" t="str">
        <f t="shared" si="15"/>
        <v/>
      </c>
      <c r="AH14" s="885" t="str">
        <f t="shared" si="16"/>
        <v/>
      </c>
      <c r="AI14" s="109" t="str">
        <f t="shared" si="17"/>
        <v/>
      </c>
      <c r="AJ14" s="109" t="str">
        <f t="shared" si="18"/>
        <v/>
      </c>
      <c r="AK14" s="109" t="str">
        <f t="shared" si="19"/>
        <v/>
      </c>
      <c r="AL14" s="109" t="str">
        <f t="shared" si="20"/>
        <v/>
      </c>
      <c r="AM14" s="109" t="str">
        <f t="shared" si="21"/>
        <v/>
      </c>
      <c r="AN14" s="109" t="str">
        <f t="shared" si="22"/>
        <v/>
      </c>
      <c r="AO14" s="109" t="str">
        <f t="shared" si="23"/>
        <v/>
      </c>
      <c r="AP14" s="754" t="str">
        <f t="shared" si="24"/>
        <v/>
      </c>
      <c r="AQ14" s="755" t="str">
        <f t="shared" si="25"/>
        <v/>
      </c>
      <c r="AR14" s="195" t="str">
        <f t="shared" si="26"/>
        <v/>
      </c>
      <c r="AS14" s="195" t="str">
        <f t="shared" si="27"/>
        <v/>
      </c>
      <c r="AT14" s="664" t="str">
        <f t="shared" si="28"/>
        <v/>
      </c>
      <c r="AU14" s="756" t="str">
        <f t="shared" si="29"/>
        <v/>
      </c>
      <c r="AV14" s="195" t="str">
        <f t="shared" si="30"/>
        <v/>
      </c>
      <c r="AW14" s="195" t="str">
        <f t="shared" si="31"/>
        <v/>
      </c>
      <c r="AX14" s="195" t="str">
        <f t="shared" si="32"/>
        <v/>
      </c>
      <c r="AY14" s="728" t="str">
        <f t="shared" si="33"/>
        <v/>
      </c>
      <c r="AZ14" s="195" t="str">
        <f t="shared" si="34"/>
        <v/>
      </c>
      <c r="BA14" s="195" t="str">
        <f t="shared" si="35"/>
        <v/>
      </c>
      <c r="BB14" s="195" t="str">
        <f t="shared" si="36"/>
        <v/>
      </c>
      <c r="BC14" s="195" t="str">
        <f t="shared" si="37"/>
        <v/>
      </c>
      <c r="BD14" s="112" t="str">
        <f t="shared" si="38"/>
        <v/>
      </c>
      <c r="BE14" s="109" t="str">
        <f t="shared" si="39"/>
        <v/>
      </c>
      <c r="BF14" s="602"/>
      <c r="BG14" s="113" t="str">
        <f t="shared" si="40"/>
        <v/>
      </c>
      <c r="BH14" s="113" t="str">
        <f t="shared" si="41"/>
        <v/>
      </c>
      <c r="BI14" s="113" t="str">
        <f t="shared" si="42"/>
        <v/>
      </c>
      <c r="BJ14" s="281" t="str" cm="1">
        <f t="array" ref="BJ14">IF($AH14="","",
_xlfn.IFS(
$BE14="Devis 1",
IF(ISBLANK(AR14),"",IFERROR(VALUE(TRIM(SUBSTITUTE(AR14,CHAR(160),""))),0)*IFERROR(VALUE(TRIM(SUBSTITUTE($AH14,CHAR(160),""))),0)),
$BE14="Devis 2",
IF(ISBLANK(AW14),"",IFERROR(VALUE(TRIM(SUBSTITUTE(AW14,CHAR(160),""))),0)*IFERROR(VALUE(TRIM(SUBSTITUTE($AH14,CHAR(160),""))),0)),
$BE14="Devis 3",
IF(ISBLANK(BB14),"",IFERROR(VALUE(TRIM(SUBSTITUTE(BB14,CHAR(160),""))),0)*IFERROR(VALUE(TRIM(SUBSTITUTE($AH14,CHAR(160),""))),0)),
TRUE,0
)
)</f>
        <v/>
      </c>
      <c r="BK14" s="281" t="str" cm="1">
        <f t="array" ref="BK14">IF($AH14="","",
_xlfn.IFS(
$BE14="Devis 1",
IF(ISBLANK(AS14),"",IFERROR(VALUE(TRIM(SUBSTITUTE(AS14,CHAR(160),""))),0)*IFERROR(VALUE(TRIM(SUBSTITUTE($AH14,CHAR(160),""))),0)),
$BE14="Devis 2",
IF(ISBLANK(AX14),"",IFERROR(VALUE(TRIM(SUBSTITUTE(AX14,CHAR(160),""))),0)*IFERROR(VALUE(TRIM(SUBSTITUTE($AH14,CHAR(160),""))),0)),
$BE14="Devis 3",
IF(ISBLANK(BC14),"",IFERROR(VALUE(TRIM(SUBSTITUTE(BC14,CHAR(160),""))),0)*IFERROR(VALUE(TRIM(SUBSTITUTE($AH14,CHAR(160),""))),0)),
TRUE,0
)
)</f>
        <v/>
      </c>
      <c r="BL14" s="281" t="str">
        <f t="shared" si="43"/>
        <v/>
      </c>
      <c r="BM14" s="602"/>
      <c r="BN14" s="23" t="str" cm="1">
        <f t="array" ref="BN14">IF(OR(BL14="",BI14="",BJ14="",BG14="",BK14="",BH14=""),"",_xlfn.IFS(
ROUND(IFERROR(VALUE(TRIM(SUBSTITUTE(BL14,CHAR(160),""))),0),2)&gt;
ROUND(IFERROR(VALUE(TRIM(SUBSTITUTE(BI14,CHAR(160),""))),0),2),
"KO : Le montant retenu TTC est supérieur au montant raisonnable TTC. Merci de revoir la ligne de dépense ou plafonner son montant.",
ROUND(IFERROR(VALUE(TRIM(SUBSTITUTE(BJ14,CHAR(160),""))),0),2)&gt;
ROUND(IFERROR(VALUE(TRIM(SUBSTITUTE(BG14,CHAR(160),""))),0),2),
"Attention : Le montant retenu HT est supérieur au montant HT raisonnable. Merci de revoir la ligne de dépense, plafonner son montant, ou justifier la reventillation HT / TVA.",
ROUND(IFERROR(VALUE(TRIM(SUBSTITUTE(BK14,CHAR(160),""))),0),2)&gt;
ROUND(IFERROR(VALUE(TRIM(SUBSTITUTE(BH14,CHAR(160),""))),0),2),
"Attention : Le montant TVA retenu est supérieur au montant TVA raisonnable. Merci de revoir la ligne de dépense, plafonner son montant, ou justifier la reventillation HT / TVA.",
ROUND(IFERROR(VALUE(TRIM(SUBSTITUTE(BL14,CHAR(160),""))),0),2)&gt;
ROUND(IFERROR(VALUE(TRIM(SUBSTITUTE(MIN(P14,U14,Z14),CHAR(160),""))),0),2),
"Attention : Le devis retenu n'est pas le moins cher. Une justification de la part du porteur est nécessaire.",
ROUND(IFERROR(VALUE(TRIM(SUBSTITUTE(BL14,CHAR(160),""))),0),2)=0,
"Attention : montant présenté entièrement écarté",
ROUND(IFERROR(VALUE(TRIM(SUBSTITUTE(BI14,CHAR(160),""))),0),2)=
ROUND(IFERROR(VALUE(TRIM(SUBSTITUTE(BL14,CHAR(160),""))),0),2),
"OK",
ROUND(IFERROR(VALUE(TRIM(SUBSTITUTE(BI14,CHAR(160),""))),0),2)&gt;
ROUND(IFERROR(VALUE(TRIM(SUBSTITUTE(BL14,CHAR(160),""))),0),2),
" OK : Montant instruit inférieur au montant raisonnable.",
TRUE,""
))</f>
        <v/>
      </c>
      <c r="BO14" s="23" t="str" cm="1">
        <f t="array" ref="BO14">IF(OR(BL14="",AD14="",BJ14="",AB14="",BK14="",AC14=""),"",_xlfn.IFS(
ROUND(IFERROR(VALUE(TRIM(SUBSTITUTE(BL14,CHAR(160),""))),0),2)&gt;
ROUND(IFERROR(VALUE(TRIM(SUBSTITUTE(AD14,CHAR(160),""))),0),2),
"KO : Le montant retenu TTC est supérieur au montant présenté TTC. Merci de revoir la ligne de dépense ou plafonner son montant.",
ROUND(IFERROR(VALUE(TRIM(SUBSTITUTE(BJ14,CHAR(160),""))),0),2)&gt;
ROUND(IFERROR(VALUE(TRIM(SUBSTITUTE(AB14,CHAR(160),""))),0),2),
"Attention : Le montant retenu HT est supérieur au montant HT présenté. Merci de revoir la ligne de dépense, plafonner son montant, ou justifier la reventillation HT / TVA.",
ROUND(IFERROR(VALUE(TRIM(SUBSTITUTE(BK14,CHAR(160),""))),0),2)&gt;
ROUND(IFERROR(VALUE(TRIM(SUBSTITUTE(AC14,CHAR(160),""))),0),2),
"Attention : Le montant TVA retenu est supérieur au montant TVA présenté. Merci de revoir la ligne de dépense, plafonner son montant, ou justifier la reventillation HT / TVA.",
ROUND(IFERROR(VALUE(TRIM(SUBSTITUTE(AD14,CHAR(160),""))),0),2)=0,
"",
ROUND(IFERROR(VALUE(TRIM(SUBSTITUTE(BL14,CHAR(160),""))),0),2)=
ROUND(IFERROR(VALUE(TRIM(SUBSTITUTE(AD14,CHAR(160),""))),0),2),
"OK",
ROUND(IFERROR(VALUE(TRIM(SUBSTITUTE(BL14,CHAR(160),""))),0),2)=0,
"Attention : Montant présenté entièrement rejeté.",
ROUND(IFERROR(VALUE(TRIM(SUBSTITUTE(BL14,CHAR(160),""))),0),2)&lt;
ROUND(IFERROR(VALUE(TRIM(SUBSTITUTE(AD14,CHAR(160),""))),0),2),
"Attention : Montant présenté partiellement rejeté.",
TRUE,""
))</f>
        <v/>
      </c>
      <c r="BP14" s="113" t="str">
        <f t="shared" si="44"/>
        <v/>
      </c>
      <c r="BQ14" s="113" t="str">
        <f t="shared" si="45"/>
        <v/>
      </c>
      <c r="BR14" s="33" t="str">
        <f t="shared" si="46"/>
        <v/>
      </c>
      <c r="BS14" s="115"/>
    </row>
    <row r="15" spans="1:71" ht="15" customHeight="1">
      <c r="A15" s="193">
        <v>7</v>
      </c>
      <c r="B15" s="7"/>
      <c r="C15" s="7"/>
      <c r="D15" s="19"/>
      <c r="E15" s="7"/>
      <c r="F15" s="7"/>
      <c r="G15" s="7"/>
      <c r="H15" s="7"/>
      <c r="I15" s="28"/>
      <c r="J15" s="7"/>
      <c r="K15" s="29"/>
      <c r="L15" s="678"/>
      <c r="M15" s="7"/>
      <c r="N15" s="672"/>
      <c r="O15" s="11"/>
      <c r="P15" s="107" t="str">
        <f t="shared" si="48"/>
        <v/>
      </c>
      <c r="Q15" s="699"/>
      <c r="R15" s="702"/>
      <c r="S15" s="684"/>
      <c r="T15" s="11"/>
      <c r="U15" s="107" t="str">
        <f t="shared" si="49"/>
        <v/>
      </c>
      <c r="V15" s="695"/>
      <c r="W15" s="685"/>
      <c r="X15" s="707"/>
      <c r="Y15" s="684"/>
      <c r="Z15" s="108" t="str">
        <f t="shared" si="50"/>
        <v/>
      </c>
      <c r="AA15" s="25"/>
      <c r="AB15" s="287" t="str" cm="1">
        <f t="array" ref="AB15">IF((_xlfn.IFS(TRIM(SUBSTITUTE(AA15,CHAR(160),""))="Devis 1",IFERROR(VALUE(TRIM(SUBSTITUTE(N15,CHAR(160),""))),0),TRIM(SUBSTITUTE(AA15,CHAR(160),""))="Devis 2",IFERROR(VALUE(TRIM(SUBSTITUTE(S15,CHAR(160),""))),0),TRIM(SUBSTITUTE(AA15,CHAR(160),""))="Devis 3",IFERROR(VALUE(TRIM(SUBSTITUTE(X15,CHAR(160),""))),0),TRUE,0)*IFERROR(VALUE(TRIM(SUBSTITUTE(D15,CHAR(160),""))),0))=0,"",_xlfn.IFS(TRIM(SUBSTITUTE(AA15,CHAR(160),""))="Devis 1",IFERROR(VALUE(TRIM(SUBSTITUTE(N15,CHAR(160),""))),0),TRIM(SUBSTITUTE(AA15,CHAR(160),""))="Devis 2",IFERROR(VALUE(TRIM(SUBSTITUTE(S15,CHAR(160),""))),0),TRIM(SUBSTITUTE(AA15,CHAR(160),""))="Devis 3",IFERROR(VALUE(TRIM(SUBSTITUTE(X15,CHAR(160),""))),0),TRUE,0)*IFERROR(VALUE(TRIM(SUBSTITUTE(D15,CHAR(160),""))),0))</f>
        <v/>
      </c>
      <c r="AC15" s="275" t="str" cm="1">
        <f t="array" ref="AC15">IF(_xlfn.IFS(TRIM(SUBSTITUTE(AA15,CHAR(160),""))="Devis 1",IFERROR(VALUE(TRIM(SUBSTITUTE(O15,CHAR(160),""))),0),TRIM(SUBSTITUTE(AA15,CHAR(160),""))="Devis 2",IFERROR(VALUE(TRIM(SUBSTITUTE(T15,CHAR(160),""))),0),TRIM(SUBSTITUTE(AA15,CHAR(160),""))="Devis 3",IFERROR(VALUE(TRIM(SUBSTITUTE(Y15,CHAR(160),""))),0),TRUE,0)*IFERROR(VALUE(TRIM(SUBSTITUTE(D15,CHAR(160),""))),0)=0,IF(AB15&lt;&gt;"",0,""),_xlfn.IFS(TRIM(SUBSTITUTE(AA15,CHAR(160),""))="Devis 1",IFERROR(VALUE(TRIM(SUBSTITUTE(O15,CHAR(160),""))),0),TRIM(SUBSTITUTE(AA15,CHAR(160),""))="Devis 2",IFERROR(VALUE(TRIM(SUBSTITUTE(T15,CHAR(160),""))),0),TRIM(SUBSTITUTE(AA15,CHAR(160),""))="Devis 3",IFERROR(VALUE(TRIM(SUBSTITUTE(Y15,CHAR(160),""))),0),TRUE,0)*IFERROR(VALUE(TRIM(SUBSTITUTE(D15,CHAR(160),""))),0))</f>
        <v/>
      </c>
      <c r="AD15" s="285" t="str">
        <f t="shared" si="51"/>
        <v/>
      </c>
      <c r="AE15" s="26"/>
      <c r="AF15" s="109" t="str">
        <f t="shared" si="14"/>
        <v/>
      </c>
      <c r="AG15" s="109" t="str">
        <f t="shared" si="15"/>
        <v/>
      </c>
      <c r="AH15" s="885" t="str">
        <f t="shared" si="16"/>
        <v/>
      </c>
      <c r="AI15" s="109" t="str">
        <f t="shared" si="17"/>
        <v/>
      </c>
      <c r="AJ15" s="109" t="str">
        <f t="shared" si="18"/>
        <v/>
      </c>
      <c r="AK15" s="109" t="str">
        <f t="shared" si="19"/>
        <v/>
      </c>
      <c r="AL15" s="109" t="str">
        <f t="shared" si="20"/>
        <v/>
      </c>
      <c r="AM15" s="109" t="str">
        <f t="shared" si="21"/>
        <v/>
      </c>
      <c r="AN15" s="109" t="str">
        <f t="shared" si="22"/>
        <v/>
      </c>
      <c r="AO15" s="109" t="str">
        <f t="shared" si="23"/>
        <v/>
      </c>
      <c r="AP15" s="754" t="str">
        <f t="shared" si="24"/>
        <v/>
      </c>
      <c r="AQ15" s="755" t="str">
        <f t="shared" si="25"/>
        <v/>
      </c>
      <c r="AR15" s="195" t="str">
        <f t="shared" si="26"/>
        <v/>
      </c>
      <c r="AS15" s="195" t="str">
        <f t="shared" si="27"/>
        <v/>
      </c>
      <c r="AT15" s="664" t="str">
        <f t="shared" si="28"/>
        <v/>
      </c>
      <c r="AU15" s="756" t="str">
        <f t="shared" si="29"/>
        <v/>
      </c>
      <c r="AV15" s="195" t="str">
        <f t="shared" si="30"/>
        <v/>
      </c>
      <c r="AW15" s="195" t="str">
        <f t="shared" si="31"/>
        <v/>
      </c>
      <c r="AX15" s="195" t="str">
        <f t="shared" si="32"/>
        <v/>
      </c>
      <c r="AY15" s="728" t="str">
        <f t="shared" si="33"/>
        <v/>
      </c>
      <c r="AZ15" s="195" t="str">
        <f t="shared" si="34"/>
        <v/>
      </c>
      <c r="BA15" s="195" t="str">
        <f t="shared" si="35"/>
        <v/>
      </c>
      <c r="BB15" s="195" t="str">
        <f t="shared" si="36"/>
        <v/>
      </c>
      <c r="BC15" s="195" t="str">
        <f t="shared" si="37"/>
        <v/>
      </c>
      <c r="BD15" s="112" t="str">
        <f t="shared" si="38"/>
        <v/>
      </c>
      <c r="BE15" s="109" t="str">
        <f t="shared" si="39"/>
        <v/>
      </c>
      <c r="BF15" s="602"/>
      <c r="BG15" s="113" t="str">
        <f t="shared" si="40"/>
        <v/>
      </c>
      <c r="BH15" s="113" t="str">
        <f t="shared" si="41"/>
        <v/>
      </c>
      <c r="BI15" s="113" t="str">
        <f t="shared" si="42"/>
        <v/>
      </c>
      <c r="BJ15" s="281" t="str" cm="1">
        <f t="array" ref="BJ15">IF($AH15="","",
_xlfn.IFS(
$BE15="Devis 1",
IF(ISBLANK(AR15),"",IFERROR(VALUE(TRIM(SUBSTITUTE(AR15,CHAR(160),""))),0)*IFERROR(VALUE(TRIM(SUBSTITUTE($AH15,CHAR(160),""))),0)),
$BE15="Devis 2",
IF(ISBLANK(AW15),"",IFERROR(VALUE(TRIM(SUBSTITUTE(AW15,CHAR(160),""))),0)*IFERROR(VALUE(TRIM(SUBSTITUTE($AH15,CHAR(160),""))),0)),
$BE15="Devis 3",
IF(ISBLANK(BB15),"",IFERROR(VALUE(TRIM(SUBSTITUTE(BB15,CHAR(160),""))),0)*IFERROR(VALUE(TRIM(SUBSTITUTE($AH15,CHAR(160),""))),0)),
TRUE,0
)
)</f>
        <v/>
      </c>
      <c r="BK15" s="281" t="str" cm="1">
        <f t="array" ref="BK15">IF($AH15="","",
_xlfn.IFS(
$BE15="Devis 1",
IF(ISBLANK(AS15),"",IFERROR(VALUE(TRIM(SUBSTITUTE(AS15,CHAR(160),""))),0)*IFERROR(VALUE(TRIM(SUBSTITUTE($AH15,CHAR(160),""))),0)),
$BE15="Devis 2",
IF(ISBLANK(AX15),"",IFERROR(VALUE(TRIM(SUBSTITUTE(AX15,CHAR(160),""))),0)*IFERROR(VALUE(TRIM(SUBSTITUTE($AH15,CHAR(160),""))),0)),
$BE15="Devis 3",
IF(ISBLANK(BC15),"",IFERROR(VALUE(TRIM(SUBSTITUTE(BC15,CHAR(160),""))),0)*IFERROR(VALUE(TRIM(SUBSTITUTE($AH15,CHAR(160),""))),0)),
TRUE,0
)
)</f>
        <v/>
      </c>
      <c r="BL15" s="281" t="str">
        <f t="shared" si="43"/>
        <v/>
      </c>
      <c r="BM15" s="602"/>
      <c r="BN15" s="23" t="str" cm="1">
        <f t="array" ref="BN15">IF(OR(BL15="",BI15="",BJ15="",BG15="",BK15="",BH15=""),"",_xlfn.IFS(
ROUND(IFERROR(VALUE(TRIM(SUBSTITUTE(BL15,CHAR(160),""))),0),2)&gt;
ROUND(IFERROR(VALUE(TRIM(SUBSTITUTE(BI15,CHAR(160),""))),0),2),
"KO : Le montant retenu TTC est supérieur au montant raisonnable TTC. Merci de revoir la ligne de dépense ou plafonner son montant.",
ROUND(IFERROR(VALUE(TRIM(SUBSTITUTE(BJ15,CHAR(160),""))),0),2)&gt;
ROUND(IFERROR(VALUE(TRIM(SUBSTITUTE(BG15,CHAR(160),""))),0),2),
"Attention : Le montant retenu HT est supérieur au montant HT raisonnable. Merci de revoir la ligne de dépense, plafonner son montant, ou justifier la reventillation HT / TVA.",
ROUND(IFERROR(VALUE(TRIM(SUBSTITUTE(BK15,CHAR(160),""))),0),2)&gt;
ROUND(IFERROR(VALUE(TRIM(SUBSTITUTE(BH15,CHAR(160),""))),0),2),
"Attention : Le montant TVA retenu est supérieur au montant TVA raisonnable. Merci de revoir la ligne de dépense, plafonner son montant, ou justifier la reventillation HT / TVA.",
ROUND(IFERROR(VALUE(TRIM(SUBSTITUTE(BL15,CHAR(160),""))),0),2)&gt;
ROUND(IFERROR(VALUE(TRIM(SUBSTITUTE(MIN(P15,U15,Z15),CHAR(160),""))),0),2),
"Attention : Le devis retenu n'est pas le moins cher. Une justification de la part du porteur est nécessaire.",
ROUND(IFERROR(VALUE(TRIM(SUBSTITUTE(BL15,CHAR(160),""))),0),2)=0,
"Attention : montant présenté entièrement écarté",
ROUND(IFERROR(VALUE(TRIM(SUBSTITUTE(BI15,CHAR(160),""))),0),2)=
ROUND(IFERROR(VALUE(TRIM(SUBSTITUTE(BL15,CHAR(160),""))),0),2),
"OK",
ROUND(IFERROR(VALUE(TRIM(SUBSTITUTE(BI15,CHAR(160),""))),0),2)&gt;
ROUND(IFERROR(VALUE(TRIM(SUBSTITUTE(BL15,CHAR(160),""))),0),2),
" OK : Montant instruit inférieur au montant raisonnable.",
TRUE,""
))</f>
        <v/>
      </c>
      <c r="BO15" s="23" t="str" cm="1">
        <f t="array" ref="BO15">IF(OR(BL15="",AD15="",BJ15="",AB15="",BK15="",AC15=""),"",_xlfn.IFS(
ROUND(IFERROR(VALUE(TRIM(SUBSTITUTE(BL15,CHAR(160),""))),0),2)&gt;
ROUND(IFERROR(VALUE(TRIM(SUBSTITUTE(AD15,CHAR(160),""))),0),2),
"KO : Le montant retenu TTC est supérieur au montant présenté TTC. Merci de revoir la ligne de dépense ou plafonner son montant.",
ROUND(IFERROR(VALUE(TRIM(SUBSTITUTE(BJ15,CHAR(160),""))),0),2)&gt;
ROUND(IFERROR(VALUE(TRIM(SUBSTITUTE(AB15,CHAR(160),""))),0),2),
"Attention : Le montant retenu HT est supérieur au montant HT présenté. Merci de revoir la ligne de dépense, plafonner son montant, ou justifier la reventillation HT / TVA.",
ROUND(IFERROR(VALUE(TRIM(SUBSTITUTE(BK15,CHAR(160),""))),0),2)&gt;
ROUND(IFERROR(VALUE(TRIM(SUBSTITUTE(AC15,CHAR(160),""))),0),2),
"Attention : Le montant TVA retenu est supérieur au montant TVA présenté. Merci de revoir la ligne de dépense, plafonner son montant, ou justifier la reventillation HT / TVA.",
ROUND(IFERROR(VALUE(TRIM(SUBSTITUTE(AD15,CHAR(160),""))),0),2)=0,
"",
ROUND(IFERROR(VALUE(TRIM(SUBSTITUTE(BL15,CHAR(160),""))),0),2)=
ROUND(IFERROR(VALUE(TRIM(SUBSTITUTE(AD15,CHAR(160),""))),0),2),
"OK",
ROUND(IFERROR(VALUE(TRIM(SUBSTITUTE(BL15,CHAR(160),""))),0),2)=0,
"Attention : Montant présenté entièrement rejeté.",
ROUND(IFERROR(VALUE(TRIM(SUBSTITUTE(BL15,CHAR(160),""))),0),2)&lt;
ROUND(IFERROR(VALUE(TRIM(SUBSTITUTE(AD15,CHAR(160),""))),0),2),
"Attention : Montant présenté partiellement rejeté.",
TRUE,""
))</f>
        <v/>
      </c>
      <c r="BP15" s="113" t="str">
        <f t="shared" si="44"/>
        <v/>
      </c>
      <c r="BQ15" s="113" t="str">
        <f t="shared" si="45"/>
        <v/>
      </c>
      <c r="BR15" s="33" t="str">
        <f t="shared" si="46"/>
        <v/>
      </c>
      <c r="BS15" s="115"/>
    </row>
    <row r="16" spans="1:71" ht="15" customHeight="1">
      <c r="A16" s="193">
        <v>8</v>
      </c>
      <c r="B16" s="7"/>
      <c r="C16" s="7"/>
      <c r="D16" s="19"/>
      <c r="E16" s="7"/>
      <c r="F16" s="7"/>
      <c r="G16" s="7"/>
      <c r="H16" s="7"/>
      <c r="I16" s="28"/>
      <c r="J16" s="7"/>
      <c r="K16" s="29"/>
      <c r="L16" s="678"/>
      <c r="M16" s="7"/>
      <c r="N16" s="672"/>
      <c r="O16" s="11"/>
      <c r="P16" s="107" t="str">
        <f t="shared" si="48"/>
        <v/>
      </c>
      <c r="Q16" s="699"/>
      <c r="R16" s="702"/>
      <c r="S16" s="684"/>
      <c r="T16" s="11"/>
      <c r="U16" s="107" t="str">
        <f t="shared" si="49"/>
        <v/>
      </c>
      <c r="V16" s="695"/>
      <c r="W16" s="685"/>
      <c r="X16" s="707"/>
      <c r="Y16" s="684"/>
      <c r="Z16" s="108" t="str">
        <f t="shared" si="50"/>
        <v/>
      </c>
      <c r="AA16" s="25"/>
      <c r="AB16" s="287" t="str" cm="1">
        <f t="array" ref="AB16">IF((_xlfn.IFS(TRIM(SUBSTITUTE(AA16,CHAR(160),""))="Devis 1",IFERROR(VALUE(TRIM(SUBSTITUTE(N16,CHAR(160),""))),0),TRIM(SUBSTITUTE(AA16,CHAR(160),""))="Devis 2",IFERROR(VALUE(TRIM(SUBSTITUTE(S16,CHAR(160),""))),0),TRIM(SUBSTITUTE(AA16,CHAR(160),""))="Devis 3",IFERROR(VALUE(TRIM(SUBSTITUTE(X16,CHAR(160),""))),0),TRUE,0)*IFERROR(VALUE(TRIM(SUBSTITUTE(D16,CHAR(160),""))),0))=0,"",_xlfn.IFS(TRIM(SUBSTITUTE(AA16,CHAR(160),""))="Devis 1",IFERROR(VALUE(TRIM(SUBSTITUTE(N16,CHAR(160),""))),0),TRIM(SUBSTITUTE(AA16,CHAR(160),""))="Devis 2",IFERROR(VALUE(TRIM(SUBSTITUTE(S16,CHAR(160),""))),0),TRIM(SUBSTITUTE(AA16,CHAR(160),""))="Devis 3",IFERROR(VALUE(TRIM(SUBSTITUTE(X16,CHAR(160),""))),0),TRUE,0)*IFERROR(VALUE(TRIM(SUBSTITUTE(D16,CHAR(160),""))),0))</f>
        <v/>
      </c>
      <c r="AC16" s="275" t="str" cm="1">
        <f t="array" ref="AC16">IF(_xlfn.IFS(TRIM(SUBSTITUTE(AA16,CHAR(160),""))="Devis 1",IFERROR(VALUE(TRIM(SUBSTITUTE(O16,CHAR(160),""))),0),TRIM(SUBSTITUTE(AA16,CHAR(160),""))="Devis 2",IFERROR(VALUE(TRIM(SUBSTITUTE(T16,CHAR(160),""))),0),TRIM(SUBSTITUTE(AA16,CHAR(160),""))="Devis 3",IFERROR(VALUE(TRIM(SUBSTITUTE(Y16,CHAR(160),""))),0),TRUE,0)*IFERROR(VALUE(TRIM(SUBSTITUTE(D16,CHAR(160),""))),0)=0,IF(AB16&lt;&gt;"",0,""),_xlfn.IFS(TRIM(SUBSTITUTE(AA16,CHAR(160),""))="Devis 1",IFERROR(VALUE(TRIM(SUBSTITUTE(O16,CHAR(160),""))),0),TRIM(SUBSTITUTE(AA16,CHAR(160),""))="Devis 2",IFERROR(VALUE(TRIM(SUBSTITUTE(T16,CHAR(160),""))),0),TRIM(SUBSTITUTE(AA16,CHAR(160),""))="Devis 3",IFERROR(VALUE(TRIM(SUBSTITUTE(Y16,CHAR(160),""))),0),TRUE,0)*IFERROR(VALUE(TRIM(SUBSTITUTE(D16,CHAR(160),""))),0))</f>
        <v/>
      </c>
      <c r="AD16" s="285" t="str">
        <f t="shared" si="51"/>
        <v/>
      </c>
      <c r="AE16" s="26"/>
      <c r="AF16" s="109" t="str">
        <f t="shared" si="14"/>
        <v/>
      </c>
      <c r="AG16" s="109" t="str">
        <f t="shared" si="15"/>
        <v/>
      </c>
      <c r="AH16" s="885" t="str">
        <f t="shared" si="16"/>
        <v/>
      </c>
      <c r="AI16" s="109" t="str">
        <f t="shared" si="17"/>
        <v/>
      </c>
      <c r="AJ16" s="109" t="str">
        <f t="shared" si="18"/>
        <v/>
      </c>
      <c r="AK16" s="109" t="str">
        <f t="shared" si="19"/>
        <v/>
      </c>
      <c r="AL16" s="109" t="str">
        <f t="shared" si="20"/>
        <v/>
      </c>
      <c r="AM16" s="109" t="str">
        <f t="shared" si="21"/>
        <v/>
      </c>
      <c r="AN16" s="109" t="str">
        <f t="shared" si="22"/>
        <v/>
      </c>
      <c r="AO16" s="109" t="str">
        <f t="shared" si="23"/>
        <v/>
      </c>
      <c r="AP16" s="754" t="str">
        <f t="shared" si="24"/>
        <v/>
      </c>
      <c r="AQ16" s="755" t="str">
        <f t="shared" si="25"/>
        <v/>
      </c>
      <c r="AR16" s="195" t="str">
        <f t="shared" si="26"/>
        <v/>
      </c>
      <c r="AS16" s="195" t="str">
        <f t="shared" si="27"/>
        <v/>
      </c>
      <c r="AT16" s="664" t="str">
        <f t="shared" si="28"/>
        <v/>
      </c>
      <c r="AU16" s="756" t="str">
        <f t="shared" si="29"/>
        <v/>
      </c>
      <c r="AV16" s="195" t="str">
        <f t="shared" si="30"/>
        <v/>
      </c>
      <c r="AW16" s="195" t="str">
        <f t="shared" si="31"/>
        <v/>
      </c>
      <c r="AX16" s="195" t="str">
        <f t="shared" si="32"/>
        <v/>
      </c>
      <c r="AY16" s="728" t="str">
        <f t="shared" si="33"/>
        <v/>
      </c>
      <c r="AZ16" s="195" t="str">
        <f t="shared" si="34"/>
        <v/>
      </c>
      <c r="BA16" s="195" t="str">
        <f t="shared" si="35"/>
        <v/>
      </c>
      <c r="BB16" s="195" t="str">
        <f t="shared" si="36"/>
        <v/>
      </c>
      <c r="BC16" s="195" t="str">
        <f t="shared" si="37"/>
        <v/>
      </c>
      <c r="BD16" s="112" t="str">
        <f t="shared" si="38"/>
        <v/>
      </c>
      <c r="BE16" s="109" t="str">
        <f t="shared" si="39"/>
        <v/>
      </c>
      <c r="BF16" s="602"/>
      <c r="BG16" s="113" t="str">
        <f t="shared" si="40"/>
        <v/>
      </c>
      <c r="BH16" s="113" t="str">
        <f t="shared" si="41"/>
        <v/>
      </c>
      <c r="BI16" s="113" t="str">
        <f t="shared" si="42"/>
        <v/>
      </c>
      <c r="BJ16" s="281" t="str" cm="1">
        <f t="array" ref="BJ16">IF($AH16="","",
_xlfn.IFS(
$BE16="Devis 1",
IF(ISBLANK(AR16),"",IFERROR(VALUE(TRIM(SUBSTITUTE(AR16,CHAR(160),""))),0)*IFERROR(VALUE(TRIM(SUBSTITUTE($AH16,CHAR(160),""))),0)),
$BE16="Devis 2",
IF(ISBLANK(AW16),"",IFERROR(VALUE(TRIM(SUBSTITUTE(AW16,CHAR(160),""))),0)*IFERROR(VALUE(TRIM(SUBSTITUTE($AH16,CHAR(160),""))),0)),
$BE16="Devis 3",
IF(ISBLANK(BB16),"",IFERROR(VALUE(TRIM(SUBSTITUTE(BB16,CHAR(160),""))),0)*IFERROR(VALUE(TRIM(SUBSTITUTE($AH16,CHAR(160),""))),0)),
TRUE,0
)
)</f>
        <v/>
      </c>
      <c r="BK16" s="281" t="str" cm="1">
        <f t="array" ref="BK16">IF($AH16="","",
_xlfn.IFS(
$BE16="Devis 1",
IF(ISBLANK(AS16),"",IFERROR(VALUE(TRIM(SUBSTITUTE(AS16,CHAR(160),""))),0)*IFERROR(VALUE(TRIM(SUBSTITUTE($AH16,CHAR(160),""))),0)),
$BE16="Devis 2",
IF(ISBLANK(AX16),"",IFERROR(VALUE(TRIM(SUBSTITUTE(AX16,CHAR(160),""))),0)*IFERROR(VALUE(TRIM(SUBSTITUTE($AH16,CHAR(160),""))),0)),
$BE16="Devis 3",
IF(ISBLANK(BC16),"",IFERROR(VALUE(TRIM(SUBSTITUTE(BC16,CHAR(160),""))),0)*IFERROR(VALUE(TRIM(SUBSTITUTE($AH16,CHAR(160),""))),0)),
TRUE,0
)
)</f>
        <v/>
      </c>
      <c r="BL16" s="281" t="str">
        <f t="shared" si="43"/>
        <v/>
      </c>
      <c r="BM16" s="602"/>
      <c r="BN16" s="23" t="str" cm="1">
        <f t="array" ref="BN16">IF(OR(BL16="",BI16="",BJ16="",BG16="",BK16="",BH16=""),"",_xlfn.IFS(
ROUND(IFERROR(VALUE(TRIM(SUBSTITUTE(BL16,CHAR(160),""))),0),2)&gt;
ROUND(IFERROR(VALUE(TRIM(SUBSTITUTE(BI16,CHAR(160),""))),0),2),
"KO : Le montant retenu TTC est supérieur au montant raisonnable TTC. Merci de revoir la ligne de dépense ou plafonner son montant.",
ROUND(IFERROR(VALUE(TRIM(SUBSTITUTE(BJ16,CHAR(160),""))),0),2)&gt;
ROUND(IFERROR(VALUE(TRIM(SUBSTITUTE(BG16,CHAR(160),""))),0),2),
"Attention : Le montant retenu HT est supérieur au montant HT raisonnable. Merci de revoir la ligne de dépense, plafonner son montant, ou justifier la reventillation HT / TVA.",
ROUND(IFERROR(VALUE(TRIM(SUBSTITUTE(BK16,CHAR(160),""))),0),2)&gt;
ROUND(IFERROR(VALUE(TRIM(SUBSTITUTE(BH16,CHAR(160),""))),0),2),
"Attention : Le montant TVA retenu est supérieur au montant TVA raisonnable. Merci de revoir la ligne de dépense, plafonner son montant, ou justifier la reventillation HT / TVA.",
ROUND(IFERROR(VALUE(TRIM(SUBSTITUTE(BL16,CHAR(160),""))),0),2)&gt;
ROUND(IFERROR(VALUE(TRIM(SUBSTITUTE(MIN(P16,U16,Z16),CHAR(160),""))),0),2),
"Attention : Le devis retenu n'est pas le moins cher. Une justification de la part du porteur est nécessaire.",
ROUND(IFERROR(VALUE(TRIM(SUBSTITUTE(BL16,CHAR(160),""))),0),2)=0,
"Attention : montant présenté entièrement écarté",
ROUND(IFERROR(VALUE(TRIM(SUBSTITUTE(BI16,CHAR(160),""))),0),2)=
ROUND(IFERROR(VALUE(TRIM(SUBSTITUTE(BL16,CHAR(160),""))),0),2),
"OK",
ROUND(IFERROR(VALUE(TRIM(SUBSTITUTE(BI16,CHAR(160),""))),0),2)&gt;
ROUND(IFERROR(VALUE(TRIM(SUBSTITUTE(BL16,CHAR(160),""))),0),2),
" OK : Montant instruit inférieur au montant raisonnable.",
TRUE,""
))</f>
        <v/>
      </c>
      <c r="BO16" s="23" t="str" cm="1">
        <f t="array" ref="BO16">IF(OR(BL16="",AD16="",BJ16="",AB16="",BK16="",AC16=""),"",_xlfn.IFS(
ROUND(IFERROR(VALUE(TRIM(SUBSTITUTE(BL16,CHAR(160),""))),0),2)&gt;
ROUND(IFERROR(VALUE(TRIM(SUBSTITUTE(AD16,CHAR(160),""))),0),2),
"KO : Le montant retenu TTC est supérieur au montant présenté TTC. Merci de revoir la ligne de dépense ou plafonner son montant.",
ROUND(IFERROR(VALUE(TRIM(SUBSTITUTE(BJ16,CHAR(160),""))),0),2)&gt;
ROUND(IFERROR(VALUE(TRIM(SUBSTITUTE(AB16,CHAR(160),""))),0),2),
"Attention : Le montant retenu HT est supérieur au montant HT présenté. Merci de revoir la ligne de dépense, plafonner son montant, ou justifier la reventillation HT / TVA.",
ROUND(IFERROR(VALUE(TRIM(SUBSTITUTE(BK16,CHAR(160),""))),0),2)&gt;
ROUND(IFERROR(VALUE(TRIM(SUBSTITUTE(AC16,CHAR(160),""))),0),2),
"Attention : Le montant TVA retenu est supérieur au montant TVA présenté. Merci de revoir la ligne de dépense, plafonner son montant, ou justifier la reventillation HT / TVA.",
ROUND(IFERROR(VALUE(TRIM(SUBSTITUTE(AD16,CHAR(160),""))),0),2)=0,
"",
ROUND(IFERROR(VALUE(TRIM(SUBSTITUTE(BL16,CHAR(160),""))),0),2)=
ROUND(IFERROR(VALUE(TRIM(SUBSTITUTE(AD16,CHAR(160),""))),0),2),
"OK",
ROUND(IFERROR(VALUE(TRIM(SUBSTITUTE(BL16,CHAR(160),""))),0),2)=0,
"Attention : Montant présenté entièrement rejeté.",
ROUND(IFERROR(VALUE(TRIM(SUBSTITUTE(BL16,CHAR(160),""))),0),2)&lt;
ROUND(IFERROR(VALUE(TRIM(SUBSTITUTE(AD16,CHAR(160),""))),0),2),
"Attention : Montant présenté partiellement rejeté.",
TRUE,""
))</f>
        <v/>
      </c>
      <c r="BP16" s="113" t="str">
        <f t="shared" si="44"/>
        <v/>
      </c>
      <c r="BQ16" s="113" t="str">
        <f t="shared" si="45"/>
        <v/>
      </c>
      <c r="BR16" s="33" t="str">
        <f t="shared" si="46"/>
        <v/>
      </c>
      <c r="BS16" s="115"/>
    </row>
    <row r="17" spans="1:71" ht="15" customHeight="1">
      <c r="A17" s="193">
        <v>9</v>
      </c>
      <c r="B17" s="7"/>
      <c r="C17" s="7"/>
      <c r="D17" s="19"/>
      <c r="E17" s="7"/>
      <c r="F17" s="7"/>
      <c r="G17" s="7"/>
      <c r="H17" s="7"/>
      <c r="I17" s="28"/>
      <c r="J17" s="7"/>
      <c r="K17" s="29"/>
      <c r="L17" s="678"/>
      <c r="M17" s="7"/>
      <c r="N17" s="672"/>
      <c r="O17" s="11"/>
      <c r="P17" s="107" t="str">
        <f t="shared" si="48"/>
        <v/>
      </c>
      <c r="Q17" s="699"/>
      <c r="R17" s="702"/>
      <c r="S17" s="684"/>
      <c r="T17" s="11"/>
      <c r="U17" s="107" t="str">
        <f t="shared" si="49"/>
        <v/>
      </c>
      <c r="V17" s="695"/>
      <c r="W17" s="685"/>
      <c r="X17" s="707"/>
      <c r="Y17" s="684"/>
      <c r="Z17" s="108" t="str">
        <f t="shared" si="50"/>
        <v/>
      </c>
      <c r="AA17" s="25"/>
      <c r="AB17" s="287" t="str" cm="1">
        <f t="array" ref="AB17">IF((_xlfn.IFS(TRIM(SUBSTITUTE(AA17,CHAR(160),""))="Devis 1",IFERROR(VALUE(TRIM(SUBSTITUTE(N17,CHAR(160),""))),0),TRIM(SUBSTITUTE(AA17,CHAR(160),""))="Devis 2",IFERROR(VALUE(TRIM(SUBSTITUTE(S17,CHAR(160),""))),0),TRIM(SUBSTITUTE(AA17,CHAR(160),""))="Devis 3",IFERROR(VALUE(TRIM(SUBSTITUTE(X17,CHAR(160),""))),0),TRUE,0)*IFERROR(VALUE(TRIM(SUBSTITUTE(D17,CHAR(160),""))),0))=0,"",_xlfn.IFS(TRIM(SUBSTITUTE(AA17,CHAR(160),""))="Devis 1",IFERROR(VALUE(TRIM(SUBSTITUTE(N17,CHAR(160),""))),0),TRIM(SUBSTITUTE(AA17,CHAR(160),""))="Devis 2",IFERROR(VALUE(TRIM(SUBSTITUTE(S17,CHAR(160),""))),0),TRIM(SUBSTITUTE(AA17,CHAR(160),""))="Devis 3",IFERROR(VALUE(TRIM(SUBSTITUTE(X17,CHAR(160),""))),0),TRUE,0)*IFERROR(VALUE(TRIM(SUBSTITUTE(D17,CHAR(160),""))),0))</f>
        <v/>
      </c>
      <c r="AC17" s="275" t="str" cm="1">
        <f t="array" ref="AC17">IF(_xlfn.IFS(TRIM(SUBSTITUTE(AA17,CHAR(160),""))="Devis 1",IFERROR(VALUE(TRIM(SUBSTITUTE(O17,CHAR(160),""))),0),TRIM(SUBSTITUTE(AA17,CHAR(160),""))="Devis 2",IFERROR(VALUE(TRIM(SUBSTITUTE(T17,CHAR(160),""))),0),TRIM(SUBSTITUTE(AA17,CHAR(160),""))="Devis 3",IFERROR(VALUE(TRIM(SUBSTITUTE(Y17,CHAR(160),""))),0),TRUE,0)*IFERROR(VALUE(TRIM(SUBSTITUTE(D17,CHAR(160),""))),0)=0,IF(AB17&lt;&gt;"",0,""),_xlfn.IFS(TRIM(SUBSTITUTE(AA17,CHAR(160),""))="Devis 1",IFERROR(VALUE(TRIM(SUBSTITUTE(O17,CHAR(160),""))),0),TRIM(SUBSTITUTE(AA17,CHAR(160),""))="Devis 2",IFERROR(VALUE(TRIM(SUBSTITUTE(T17,CHAR(160),""))),0),TRIM(SUBSTITUTE(AA17,CHAR(160),""))="Devis 3",IFERROR(VALUE(TRIM(SUBSTITUTE(Y17,CHAR(160),""))),0),TRUE,0)*IFERROR(VALUE(TRIM(SUBSTITUTE(D17,CHAR(160),""))),0))</f>
        <v/>
      </c>
      <c r="AD17" s="285" t="str">
        <f t="shared" si="51"/>
        <v/>
      </c>
      <c r="AE17" s="26"/>
      <c r="AF17" s="109" t="str">
        <f t="shared" si="14"/>
        <v/>
      </c>
      <c r="AG17" s="109" t="str">
        <f t="shared" si="15"/>
        <v/>
      </c>
      <c r="AH17" s="885" t="str">
        <f t="shared" si="16"/>
        <v/>
      </c>
      <c r="AI17" s="109" t="str">
        <f t="shared" si="17"/>
        <v/>
      </c>
      <c r="AJ17" s="109" t="str">
        <f t="shared" si="18"/>
        <v/>
      </c>
      <c r="AK17" s="109" t="str">
        <f t="shared" si="19"/>
        <v/>
      </c>
      <c r="AL17" s="109" t="str">
        <f t="shared" si="20"/>
        <v/>
      </c>
      <c r="AM17" s="109" t="str">
        <f t="shared" si="21"/>
        <v/>
      </c>
      <c r="AN17" s="109" t="str">
        <f t="shared" si="22"/>
        <v/>
      </c>
      <c r="AO17" s="109" t="str">
        <f t="shared" si="23"/>
        <v/>
      </c>
      <c r="AP17" s="754" t="str">
        <f t="shared" si="24"/>
        <v/>
      </c>
      <c r="AQ17" s="755" t="str">
        <f t="shared" si="25"/>
        <v/>
      </c>
      <c r="AR17" s="195" t="str">
        <f t="shared" si="26"/>
        <v/>
      </c>
      <c r="AS17" s="195" t="str">
        <f t="shared" si="27"/>
        <v/>
      </c>
      <c r="AT17" s="664" t="str">
        <f t="shared" si="28"/>
        <v/>
      </c>
      <c r="AU17" s="756" t="str">
        <f t="shared" si="29"/>
        <v/>
      </c>
      <c r="AV17" s="195" t="str">
        <f t="shared" si="30"/>
        <v/>
      </c>
      <c r="AW17" s="195" t="str">
        <f t="shared" si="31"/>
        <v/>
      </c>
      <c r="AX17" s="195" t="str">
        <f t="shared" si="32"/>
        <v/>
      </c>
      <c r="AY17" s="728" t="str">
        <f t="shared" si="33"/>
        <v/>
      </c>
      <c r="AZ17" s="195" t="str">
        <f t="shared" si="34"/>
        <v/>
      </c>
      <c r="BA17" s="195" t="str">
        <f t="shared" si="35"/>
        <v/>
      </c>
      <c r="BB17" s="195" t="str">
        <f t="shared" si="36"/>
        <v/>
      </c>
      <c r="BC17" s="195" t="str">
        <f t="shared" si="37"/>
        <v/>
      </c>
      <c r="BD17" s="112" t="str">
        <f t="shared" si="38"/>
        <v/>
      </c>
      <c r="BE17" s="109" t="str">
        <f t="shared" si="39"/>
        <v/>
      </c>
      <c r="BF17" s="602"/>
      <c r="BG17" s="113" t="str">
        <f t="shared" si="40"/>
        <v/>
      </c>
      <c r="BH17" s="113" t="str">
        <f t="shared" si="41"/>
        <v/>
      </c>
      <c r="BI17" s="113" t="str">
        <f t="shared" si="42"/>
        <v/>
      </c>
      <c r="BJ17" s="281" t="str" cm="1">
        <f t="array" ref="BJ17">IF($AH17="","",
_xlfn.IFS(
$BE17="Devis 1",
IF(ISBLANK(AR17),"",IFERROR(VALUE(TRIM(SUBSTITUTE(AR17,CHAR(160),""))),0)*IFERROR(VALUE(TRIM(SUBSTITUTE($AH17,CHAR(160),""))),0)),
$BE17="Devis 2",
IF(ISBLANK(AW17),"",IFERROR(VALUE(TRIM(SUBSTITUTE(AW17,CHAR(160),""))),0)*IFERROR(VALUE(TRIM(SUBSTITUTE($AH17,CHAR(160),""))),0)),
$BE17="Devis 3",
IF(ISBLANK(BB17),"",IFERROR(VALUE(TRIM(SUBSTITUTE(BB17,CHAR(160),""))),0)*IFERROR(VALUE(TRIM(SUBSTITUTE($AH17,CHAR(160),""))),0)),
TRUE,0
)
)</f>
        <v/>
      </c>
      <c r="BK17" s="281" t="str" cm="1">
        <f t="array" ref="BK17">IF($AH17="","",
_xlfn.IFS(
$BE17="Devis 1",
IF(ISBLANK(AS17),"",IFERROR(VALUE(TRIM(SUBSTITUTE(AS17,CHAR(160),""))),0)*IFERROR(VALUE(TRIM(SUBSTITUTE($AH17,CHAR(160),""))),0)),
$BE17="Devis 2",
IF(ISBLANK(AX17),"",IFERROR(VALUE(TRIM(SUBSTITUTE(AX17,CHAR(160),""))),0)*IFERROR(VALUE(TRIM(SUBSTITUTE($AH17,CHAR(160),""))),0)),
$BE17="Devis 3",
IF(ISBLANK(BC17),"",IFERROR(VALUE(TRIM(SUBSTITUTE(BC17,CHAR(160),""))),0)*IFERROR(VALUE(TRIM(SUBSTITUTE($AH17,CHAR(160),""))),0)),
TRUE,0
)
)</f>
        <v/>
      </c>
      <c r="BL17" s="281" t="str">
        <f t="shared" si="43"/>
        <v/>
      </c>
      <c r="BM17" s="602"/>
      <c r="BN17" s="23" t="str" cm="1">
        <f t="array" ref="BN17">IF(OR(BL17="",BI17="",BJ17="",BG17="",BK17="",BH17=""),"",_xlfn.IFS(
ROUND(IFERROR(VALUE(TRIM(SUBSTITUTE(BL17,CHAR(160),""))),0),2)&gt;
ROUND(IFERROR(VALUE(TRIM(SUBSTITUTE(BI17,CHAR(160),""))),0),2),
"KO : Le montant retenu TTC est supérieur au montant raisonnable TTC. Merci de revoir la ligne de dépense ou plafonner son montant.",
ROUND(IFERROR(VALUE(TRIM(SUBSTITUTE(BJ17,CHAR(160),""))),0),2)&gt;
ROUND(IFERROR(VALUE(TRIM(SUBSTITUTE(BG17,CHAR(160),""))),0),2),
"Attention : Le montant retenu HT est supérieur au montant HT raisonnable. Merci de revoir la ligne de dépense, plafonner son montant, ou justifier la reventillation HT / TVA.",
ROUND(IFERROR(VALUE(TRIM(SUBSTITUTE(BK17,CHAR(160),""))),0),2)&gt;
ROUND(IFERROR(VALUE(TRIM(SUBSTITUTE(BH17,CHAR(160),""))),0),2),
"Attention : Le montant TVA retenu est supérieur au montant TVA raisonnable. Merci de revoir la ligne de dépense, plafonner son montant, ou justifier la reventillation HT / TVA.",
ROUND(IFERROR(VALUE(TRIM(SUBSTITUTE(BL17,CHAR(160),""))),0),2)&gt;
ROUND(IFERROR(VALUE(TRIM(SUBSTITUTE(MIN(P17,U17,Z17),CHAR(160),""))),0),2),
"Attention : Le devis retenu n'est pas le moins cher. Une justification de la part du porteur est nécessaire.",
ROUND(IFERROR(VALUE(TRIM(SUBSTITUTE(BL17,CHAR(160),""))),0),2)=0,
"Attention : montant présenté entièrement écarté",
ROUND(IFERROR(VALUE(TRIM(SUBSTITUTE(BI17,CHAR(160),""))),0),2)=
ROUND(IFERROR(VALUE(TRIM(SUBSTITUTE(BL17,CHAR(160),""))),0),2),
"OK",
ROUND(IFERROR(VALUE(TRIM(SUBSTITUTE(BI17,CHAR(160),""))),0),2)&gt;
ROUND(IFERROR(VALUE(TRIM(SUBSTITUTE(BL17,CHAR(160),""))),0),2),
" OK : Montant instruit inférieur au montant raisonnable.",
TRUE,""
))</f>
        <v/>
      </c>
      <c r="BO17" s="23" t="str" cm="1">
        <f t="array" ref="BO17">IF(OR(BL17="",AD17="",BJ17="",AB17="",BK17="",AC17=""),"",_xlfn.IFS(
ROUND(IFERROR(VALUE(TRIM(SUBSTITUTE(BL17,CHAR(160),""))),0),2)&gt;
ROUND(IFERROR(VALUE(TRIM(SUBSTITUTE(AD17,CHAR(160),""))),0),2),
"KO : Le montant retenu TTC est supérieur au montant présenté TTC. Merci de revoir la ligne de dépense ou plafonner son montant.",
ROUND(IFERROR(VALUE(TRIM(SUBSTITUTE(BJ17,CHAR(160),""))),0),2)&gt;
ROUND(IFERROR(VALUE(TRIM(SUBSTITUTE(AB17,CHAR(160),""))),0),2),
"Attention : Le montant retenu HT est supérieur au montant HT présenté. Merci de revoir la ligne de dépense, plafonner son montant, ou justifier la reventillation HT / TVA.",
ROUND(IFERROR(VALUE(TRIM(SUBSTITUTE(BK17,CHAR(160),""))),0),2)&gt;
ROUND(IFERROR(VALUE(TRIM(SUBSTITUTE(AC17,CHAR(160),""))),0),2),
"Attention : Le montant TVA retenu est supérieur au montant TVA présenté. Merci de revoir la ligne de dépense, plafonner son montant, ou justifier la reventillation HT / TVA.",
ROUND(IFERROR(VALUE(TRIM(SUBSTITUTE(AD17,CHAR(160),""))),0),2)=0,
"",
ROUND(IFERROR(VALUE(TRIM(SUBSTITUTE(BL17,CHAR(160),""))),0),2)=
ROUND(IFERROR(VALUE(TRIM(SUBSTITUTE(AD17,CHAR(160),""))),0),2),
"OK",
ROUND(IFERROR(VALUE(TRIM(SUBSTITUTE(BL17,CHAR(160),""))),0),2)=0,
"Attention : Montant présenté entièrement rejeté.",
ROUND(IFERROR(VALUE(TRIM(SUBSTITUTE(BL17,CHAR(160),""))),0),2)&lt;
ROUND(IFERROR(VALUE(TRIM(SUBSTITUTE(AD17,CHAR(160),""))),0),2),
"Attention : Montant présenté partiellement rejeté.",
TRUE,""
))</f>
        <v/>
      </c>
      <c r="BP17" s="113" t="str">
        <f t="shared" si="44"/>
        <v/>
      </c>
      <c r="BQ17" s="113" t="str">
        <f t="shared" si="45"/>
        <v/>
      </c>
      <c r="BR17" s="33" t="str">
        <f t="shared" si="46"/>
        <v/>
      </c>
      <c r="BS17" s="115"/>
    </row>
    <row r="18" spans="1:71" ht="15" customHeight="1">
      <c r="A18" s="193">
        <v>10</v>
      </c>
      <c r="B18" s="7"/>
      <c r="C18" s="7"/>
      <c r="D18" s="19"/>
      <c r="E18" s="7"/>
      <c r="F18" s="7"/>
      <c r="G18" s="7"/>
      <c r="H18" s="7"/>
      <c r="I18" s="28"/>
      <c r="J18" s="7"/>
      <c r="K18" s="29"/>
      <c r="L18" s="678"/>
      <c r="M18" s="7"/>
      <c r="N18" s="672"/>
      <c r="O18" s="11"/>
      <c r="P18" s="107" t="str">
        <f t="shared" si="48"/>
        <v/>
      </c>
      <c r="Q18" s="699"/>
      <c r="R18" s="702"/>
      <c r="S18" s="684"/>
      <c r="T18" s="11"/>
      <c r="U18" s="107" t="str">
        <f t="shared" si="49"/>
        <v/>
      </c>
      <c r="V18" s="695"/>
      <c r="W18" s="685"/>
      <c r="X18" s="707"/>
      <c r="Y18" s="684"/>
      <c r="Z18" s="108" t="str">
        <f t="shared" si="50"/>
        <v/>
      </c>
      <c r="AA18" s="25"/>
      <c r="AB18" s="287" t="str" cm="1">
        <f t="array" ref="AB18">IF((_xlfn.IFS(TRIM(SUBSTITUTE(AA18,CHAR(160),""))="Devis 1",IFERROR(VALUE(TRIM(SUBSTITUTE(N18,CHAR(160),""))),0),TRIM(SUBSTITUTE(AA18,CHAR(160),""))="Devis 2",IFERROR(VALUE(TRIM(SUBSTITUTE(S18,CHAR(160),""))),0),TRIM(SUBSTITUTE(AA18,CHAR(160),""))="Devis 3",IFERROR(VALUE(TRIM(SUBSTITUTE(X18,CHAR(160),""))),0),TRUE,0)*IFERROR(VALUE(TRIM(SUBSTITUTE(D18,CHAR(160),""))),0))=0,"",_xlfn.IFS(TRIM(SUBSTITUTE(AA18,CHAR(160),""))="Devis 1",IFERROR(VALUE(TRIM(SUBSTITUTE(N18,CHAR(160),""))),0),TRIM(SUBSTITUTE(AA18,CHAR(160),""))="Devis 2",IFERROR(VALUE(TRIM(SUBSTITUTE(S18,CHAR(160),""))),0),TRIM(SUBSTITUTE(AA18,CHAR(160),""))="Devis 3",IFERROR(VALUE(TRIM(SUBSTITUTE(X18,CHAR(160),""))),0),TRUE,0)*IFERROR(VALUE(TRIM(SUBSTITUTE(D18,CHAR(160),""))),0))</f>
        <v/>
      </c>
      <c r="AC18" s="275" t="str" cm="1">
        <f t="array" ref="AC18">IF(_xlfn.IFS(TRIM(SUBSTITUTE(AA18,CHAR(160),""))="Devis 1",IFERROR(VALUE(TRIM(SUBSTITUTE(O18,CHAR(160),""))),0),TRIM(SUBSTITUTE(AA18,CHAR(160),""))="Devis 2",IFERROR(VALUE(TRIM(SUBSTITUTE(T18,CHAR(160),""))),0),TRIM(SUBSTITUTE(AA18,CHAR(160),""))="Devis 3",IFERROR(VALUE(TRIM(SUBSTITUTE(Y18,CHAR(160),""))),0),TRUE,0)*IFERROR(VALUE(TRIM(SUBSTITUTE(D18,CHAR(160),""))),0)=0,IF(AB18&lt;&gt;"",0,""),_xlfn.IFS(TRIM(SUBSTITUTE(AA18,CHAR(160),""))="Devis 1",IFERROR(VALUE(TRIM(SUBSTITUTE(O18,CHAR(160),""))),0),TRIM(SUBSTITUTE(AA18,CHAR(160),""))="Devis 2",IFERROR(VALUE(TRIM(SUBSTITUTE(T18,CHAR(160),""))),0),TRIM(SUBSTITUTE(AA18,CHAR(160),""))="Devis 3",IFERROR(VALUE(TRIM(SUBSTITUTE(Y18,CHAR(160),""))),0),TRUE,0)*IFERROR(VALUE(TRIM(SUBSTITUTE(D18,CHAR(160),""))),0))</f>
        <v/>
      </c>
      <c r="AD18" s="285" t="str">
        <f t="shared" si="51"/>
        <v/>
      </c>
      <c r="AE18" s="26"/>
      <c r="AF18" s="109" t="str">
        <f t="shared" si="14"/>
        <v/>
      </c>
      <c r="AG18" s="109" t="str">
        <f t="shared" si="15"/>
        <v/>
      </c>
      <c r="AH18" s="885" t="str">
        <f t="shared" si="16"/>
        <v/>
      </c>
      <c r="AI18" s="109" t="str">
        <f t="shared" si="17"/>
        <v/>
      </c>
      <c r="AJ18" s="109" t="str">
        <f t="shared" si="18"/>
        <v/>
      </c>
      <c r="AK18" s="109" t="str">
        <f t="shared" si="19"/>
        <v/>
      </c>
      <c r="AL18" s="109" t="str">
        <f t="shared" si="20"/>
        <v/>
      </c>
      <c r="AM18" s="109" t="str">
        <f t="shared" si="21"/>
        <v/>
      </c>
      <c r="AN18" s="109" t="str">
        <f t="shared" si="22"/>
        <v/>
      </c>
      <c r="AO18" s="109" t="str">
        <f t="shared" si="23"/>
        <v/>
      </c>
      <c r="AP18" s="754" t="str">
        <f t="shared" si="24"/>
        <v/>
      </c>
      <c r="AQ18" s="755" t="str">
        <f t="shared" si="25"/>
        <v/>
      </c>
      <c r="AR18" s="195" t="str">
        <f t="shared" si="26"/>
        <v/>
      </c>
      <c r="AS18" s="195" t="str">
        <f t="shared" si="27"/>
        <v/>
      </c>
      <c r="AT18" s="664" t="str">
        <f t="shared" si="28"/>
        <v/>
      </c>
      <c r="AU18" s="756" t="str">
        <f t="shared" si="29"/>
        <v/>
      </c>
      <c r="AV18" s="195" t="str">
        <f t="shared" si="30"/>
        <v/>
      </c>
      <c r="AW18" s="195" t="str">
        <f t="shared" si="31"/>
        <v/>
      </c>
      <c r="AX18" s="195" t="str">
        <f t="shared" si="32"/>
        <v/>
      </c>
      <c r="AY18" s="728" t="str">
        <f t="shared" si="33"/>
        <v/>
      </c>
      <c r="AZ18" s="195" t="str">
        <f t="shared" si="34"/>
        <v/>
      </c>
      <c r="BA18" s="195" t="str">
        <f t="shared" si="35"/>
        <v/>
      </c>
      <c r="BB18" s="195" t="str">
        <f t="shared" si="36"/>
        <v/>
      </c>
      <c r="BC18" s="195" t="str">
        <f t="shared" si="37"/>
        <v/>
      </c>
      <c r="BD18" s="112" t="str">
        <f t="shared" si="38"/>
        <v/>
      </c>
      <c r="BE18" s="109" t="str">
        <f t="shared" si="39"/>
        <v/>
      </c>
      <c r="BF18" s="602"/>
      <c r="BG18" s="113" t="str">
        <f t="shared" si="40"/>
        <v/>
      </c>
      <c r="BH18" s="113" t="str">
        <f t="shared" si="41"/>
        <v/>
      </c>
      <c r="BI18" s="113" t="str">
        <f t="shared" si="42"/>
        <v/>
      </c>
      <c r="BJ18" s="281" t="str" cm="1">
        <f t="array" ref="BJ18">IF($AH18="","",
_xlfn.IFS(
$BE18="Devis 1",
IF(ISBLANK(AR18),"",IFERROR(VALUE(TRIM(SUBSTITUTE(AR18,CHAR(160),""))),0)*IFERROR(VALUE(TRIM(SUBSTITUTE($AH18,CHAR(160),""))),0)),
$BE18="Devis 2",
IF(ISBLANK(AW18),"",IFERROR(VALUE(TRIM(SUBSTITUTE(AW18,CHAR(160),""))),0)*IFERROR(VALUE(TRIM(SUBSTITUTE($AH18,CHAR(160),""))),0)),
$BE18="Devis 3",
IF(ISBLANK(BB18),"",IFERROR(VALUE(TRIM(SUBSTITUTE(BB18,CHAR(160),""))),0)*IFERROR(VALUE(TRIM(SUBSTITUTE($AH18,CHAR(160),""))),0)),
TRUE,0
)
)</f>
        <v/>
      </c>
      <c r="BK18" s="281" t="str" cm="1">
        <f t="array" ref="BK18">IF($AH18="","",
_xlfn.IFS(
$BE18="Devis 1",
IF(ISBLANK(AS18),"",IFERROR(VALUE(TRIM(SUBSTITUTE(AS18,CHAR(160),""))),0)*IFERROR(VALUE(TRIM(SUBSTITUTE($AH18,CHAR(160),""))),0)),
$BE18="Devis 2",
IF(ISBLANK(AX18),"",IFERROR(VALUE(TRIM(SUBSTITUTE(AX18,CHAR(160),""))),0)*IFERROR(VALUE(TRIM(SUBSTITUTE($AH18,CHAR(160),""))),0)),
$BE18="Devis 3",
IF(ISBLANK(BC18),"",IFERROR(VALUE(TRIM(SUBSTITUTE(BC18,CHAR(160),""))),0)*IFERROR(VALUE(TRIM(SUBSTITUTE($AH18,CHAR(160),""))),0)),
TRUE,0
)
)</f>
        <v/>
      </c>
      <c r="BL18" s="281" t="str">
        <f t="shared" si="43"/>
        <v/>
      </c>
      <c r="BM18" s="602"/>
      <c r="BN18" s="23" t="str" cm="1">
        <f t="array" ref="BN18">IF(OR(BL18="",BI18="",BJ18="",BG18="",BK18="",BH18=""),"",_xlfn.IFS(
ROUND(IFERROR(VALUE(TRIM(SUBSTITUTE(BL18,CHAR(160),""))),0),2)&gt;
ROUND(IFERROR(VALUE(TRIM(SUBSTITUTE(BI18,CHAR(160),""))),0),2),
"KO : Le montant retenu TTC est supérieur au montant raisonnable TTC. Merci de revoir la ligne de dépense ou plafonner son montant.",
ROUND(IFERROR(VALUE(TRIM(SUBSTITUTE(BJ18,CHAR(160),""))),0),2)&gt;
ROUND(IFERROR(VALUE(TRIM(SUBSTITUTE(BG18,CHAR(160),""))),0),2),
"Attention : Le montant retenu HT est supérieur au montant HT raisonnable. Merci de revoir la ligne de dépense, plafonner son montant, ou justifier la reventillation HT / TVA.",
ROUND(IFERROR(VALUE(TRIM(SUBSTITUTE(BK18,CHAR(160),""))),0),2)&gt;
ROUND(IFERROR(VALUE(TRIM(SUBSTITUTE(BH18,CHAR(160),""))),0),2),
"Attention : Le montant TVA retenu est supérieur au montant TVA raisonnable. Merci de revoir la ligne de dépense, plafonner son montant, ou justifier la reventillation HT / TVA.",
ROUND(IFERROR(VALUE(TRIM(SUBSTITUTE(BL18,CHAR(160),""))),0),2)&gt;
ROUND(IFERROR(VALUE(TRIM(SUBSTITUTE(MIN(P18,U18,Z18),CHAR(160),""))),0),2),
"Attention : Le devis retenu n'est pas le moins cher. Une justification de la part du porteur est nécessaire.",
ROUND(IFERROR(VALUE(TRIM(SUBSTITUTE(BL18,CHAR(160),""))),0),2)=0,
"Attention : montant présenté entièrement écarté",
ROUND(IFERROR(VALUE(TRIM(SUBSTITUTE(BI18,CHAR(160),""))),0),2)=
ROUND(IFERROR(VALUE(TRIM(SUBSTITUTE(BL18,CHAR(160),""))),0),2),
"OK",
ROUND(IFERROR(VALUE(TRIM(SUBSTITUTE(BI18,CHAR(160),""))),0),2)&gt;
ROUND(IFERROR(VALUE(TRIM(SUBSTITUTE(BL18,CHAR(160),""))),0),2),
" OK : Montant instruit inférieur au montant raisonnable.",
TRUE,""
))</f>
        <v/>
      </c>
      <c r="BO18" s="23" t="str" cm="1">
        <f t="array" ref="BO18">IF(OR(BL18="",AD18="",BJ18="",AB18="",BK18="",AC18=""),"",_xlfn.IFS(
ROUND(IFERROR(VALUE(TRIM(SUBSTITUTE(BL18,CHAR(160),""))),0),2)&gt;
ROUND(IFERROR(VALUE(TRIM(SUBSTITUTE(AD18,CHAR(160),""))),0),2),
"KO : Le montant retenu TTC est supérieur au montant présenté TTC. Merci de revoir la ligne de dépense ou plafonner son montant.",
ROUND(IFERROR(VALUE(TRIM(SUBSTITUTE(BJ18,CHAR(160),""))),0),2)&gt;
ROUND(IFERROR(VALUE(TRIM(SUBSTITUTE(AB18,CHAR(160),""))),0),2),
"Attention : Le montant retenu HT est supérieur au montant HT présenté. Merci de revoir la ligne de dépense, plafonner son montant, ou justifier la reventillation HT / TVA.",
ROUND(IFERROR(VALUE(TRIM(SUBSTITUTE(BK18,CHAR(160),""))),0),2)&gt;
ROUND(IFERROR(VALUE(TRIM(SUBSTITUTE(AC18,CHAR(160),""))),0),2),
"Attention : Le montant TVA retenu est supérieur au montant TVA présenté. Merci de revoir la ligne de dépense, plafonner son montant, ou justifier la reventillation HT / TVA.",
ROUND(IFERROR(VALUE(TRIM(SUBSTITUTE(AD18,CHAR(160),""))),0),2)=0,
"",
ROUND(IFERROR(VALUE(TRIM(SUBSTITUTE(BL18,CHAR(160),""))),0),2)=
ROUND(IFERROR(VALUE(TRIM(SUBSTITUTE(AD18,CHAR(160),""))),0),2),
"OK",
ROUND(IFERROR(VALUE(TRIM(SUBSTITUTE(BL18,CHAR(160),""))),0),2)=0,
"Attention : Montant présenté entièrement rejeté.",
ROUND(IFERROR(VALUE(TRIM(SUBSTITUTE(BL18,CHAR(160),""))),0),2)&lt;
ROUND(IFERROR(VALUE(TRIM(SUBSTITUTE(AD18,CHAR(160),""))),0),2),
"Attention : Montant présenté partiellement rejeté.",
TRUE,""
))</f>
        <v/>
      </c>
      <c r="BP18" s="113" t="str">
        <f t="shared" si="44"/>
        <v/>
      </c>
      <c r="BQ18" s="113" t="str">
        <f t="shared" si="45"/>
        <v/>
      </c>
      <c r="BR18" s="33" t="str">
        <f t="shared" si="46"/>
        <v/>
      </c>
      <c r="BS18" s="115"/>
    </row>
    <row r="19" spans="1:71" ht="15" customHeight="1">
      <c r="A19" s="193">
        <v>11</v>
      </c>
      <c r="B19" s="7"/>
      <c r="C19" s="7"/>
      <c r="D19" s="19"/>
      <c r="E19" s="7"/>
      <c r="F19" s="7"/>
      <c r="G19" s="7"/>
      <c r="H19" s="7"/>
      <c r="I19" s="28"/>
      <c r="J19" s="7"/>
      <c r="K19" s="29"/>
      <c r="L19" s="678"/>
      <c r="M19" s="7"/>
      <c r="N19" s="672"/>
      <c r="O19" s="11"/>
      <c r="P19" s="107" t="str">
        <f t="shared" si="48"/>
        <v/>
      </c>
      <c r="Q19" s="699"/>
      <c r="R19" s="702"/>
      <c r="S19" s="684"/>
      <c r="T19" s="11"/>
      <c r="U19" s="107" t="str">
        <f t="shared" si="49"/>
        <v/>
      </c>
      <c r="V19" s="695"/>
      <c r="W19" s="685"/>
      <c r="X19" s="707"/>
      <c r="Y19" s="684"/>
      <c r="Z19" s="108" t="str">
        <f t="shared" si="50"/>
        <v/>
      </c>
      <c r="AA19" s="25"/>
      <c r="AB19" s="287" t="str" cm="1">
        <f t="array" ref="AB19">IF((_xlfn.IFS(TRIM(SUBSTITUTE(AA19,CHAR(160),""))="Devis 1",IFERROR(VALUE(TRIM(SUBSTITUTE(N19,CHAR(160),""))),0),TRIM(SUBSTITUTE(AA19,CHAR(160),""))="Devis 2",IFERROR(VALUE(TRIM(SUBSTITUTE(S19,CHAR(160),""))),0),TRIM(SUBSTITUTE(AA19,CHAR(160),""))="Devis 3",IFERROR(VALUE(TRIM(SUBSTITUTE(X19,CHAR(160),""))),0),TRUE,0)*IFERROR(VALUE(TRIM(SUBSTITUTE(D19,CHAR(160),""))),0))=0,"",_xlfn.IFS(TRIM(SUBSTITUTE(AA19,CHAR(160),""))="Devis 1",IFERROR(VALUE(TRIM(SUBSTITUTE(N19,CHAR(160),""))),0),TRIM(SUBSTITUTE(AA19,CHAR(160),""))="Devis 2",IFERROR(VALUE(TRIM(SUBSTITUTE(S19,CHAR(160),""))),0),TRIM(SUBSTITUTE(AA19,CHAR(160),""))="Devis 3",IFERROR(VALUE(TRIM(SUBSTITUTE(X19,CHAR(160),""))),0),TRUE,0)*IFERROR(VALUE(TRIM(SUBSTITUTE(D19,CHAR(160),""))),0))</f>
        <v/>
      </c>
      <c r="AC19" s="275" t="str" cm="1">
        <f t="array" ref="AC19">IF(_xlfn.IFS(TRIM(SUBSTITUTE(AA19,CHAR(160),""))="Devis 1",IFERROR(VALUE(TRIM(SUBSTITUTE(O19,CHAR(160),""))),0),TRIM(SUBSTITUTE(AA19,CHAR(160),""))="Devis 2",IFERROR(VALUE(TRIM(SUBSTITUTE(T19,CHAR(160),""))),0),TRIM(SUBSTITUTE(AA19,CHAR(160),""))="Devis 3",IFERROR(VALUE(TRIM(SUBSTITUTE(Y19,CHAR(160),""))),0),TRUE,0)*IFERROR(VALUE(TRIM(SUBSTITUTE(D19,CHAR(160),""))),0)=0,IF(AB19&lt;&gt;"",0,""),_xlfn.IFS(TRIM(SUBSTITUTE(AA19,CHAR(160),""))="Devis 1",IFERROR(VALUE(TRIM(SUBSTITUTE(O19,CHAR(160),""))),0),TRIM(SUBSTITUTE(AA19,CHAR(160),""))="Devis 2",IFERROR(VALUE(TRIM(SUBSTITUTE(T19,CHAR(160),""))),0),TRIM(SUBSTITUTE(AA19,CHAR(160),""))="Devis 3",IFERROR(VALUE(TRIM(SUBSTITUTE(Y19,CHAR(160),""))),0),TRUE,0)*IFERROR(VALUE(TRIM(SUBSTITUTE(D19,CHAR(160),""))),0))</f>
        <v/>
      </c>
      <c r="AD19" s="285" t="str">
        <f t="shared" si="51"/>
        <v/>
      </c>
      <c r="AE19" s="26"/>
      <c r="AF19" s="109" t="str">
        <f t="shared" si="14"/>
        <v/>
      </c>
      <c r="AG19" s="109" t="str">
        <f t="shared" si="15"/>
        <v/>
      </c>
      <c r="AH19" s="885" t="str">
        <f t="shared" si="16"/>
        <v/>
      </c>
      <c r="AI19" s="109" t="str">
        <f t="shared" si="17"/>
        <v/>
      </c>
      <c r="AJ19" s="109" t="str">
        <f t="shared" si="18"/>
        <v/>
      </c>
      <c r="AK19" s="109" t="str">
        <f t="shared" si="19"/>
        <v/>
      </c>
      <c r="AL19" s="109" t="str">
        <f t="shared" si="20"/>
        <v/>
      </c>
      <c r="AM19" s="109" t="str">
        <f t="shared" si="21"/>
        <v/>
      </c>
      <c r="AN19" s="109" t="str">
        <f t="shared" si="22"/>
        <v/>
      </c>
      <c r="AO19" s="109" t="str">
        <f t="shared" si="23"/>
        <v/>
      </c>
      <c r="AP19" s="754" t="str">
        <f t="shared" si="24"/>
        <v/>
      </c>
      <c r="AQ19" s="755" t="str">
        <f t="shared" si="25"/>
        <v/>
      </c>
      <c r="AR19" s="195" t="str">
        <f t="shared" si="26"/>
        <v/>
      </c>
      <c r="AS19" s="195" t="str">
        <f t="shared" si="27"/>
        <v/>
      </c>
      <c r="AT19" s="664" t="str">
        <f t="shared" si="28"/>
        <v/>
      </c>
      <c r="AU19" s="756" t="str">
        <f t="shared" si="29"/>
        <v/>
      </c>
      <c r="AV19" s="195" t="str">
        <f t="shared" si="30"/>
        <v/>
      </c>
      <c r="AW19" s="195" t="str">
        <f t="shared" si="31"/>
        <v/>
      </c>
      <c r="AX19" s="195" t="str">
        <f t="shared" si="32"/>
        <v/>
      </c>
      <c r="AY19" s="728" t="str">
        <f t="shared" si="33"/>
        <v/>
      </c>
      <c r="AZ19" s="195" t="str">
        <f t="shared" si="34"/>
        <v/>
      </c>
      <c r="BA19" s="195" t="str">
        <f t="shared" si="35"/>
        <v/>
      </c>
      <c r="BB19" s="195" t="str">
        <f t="shared" si="36"/>
        <v/>
      </c>
      <c r="BC19" s="195" t="str">
        <f t="shared" si="37"/>
        <v/>
      </c>
      <c r="BD19" s="112" t="str">
        <f t="shared" si="38"/>
        <v/>
      </c>
      <c r="BE19" s="109" t="str">
        <f t="shared" si="39"/>
        <v/>
      </c>
      <c r="BF19" s="602"/>
      <c r="BG19" s="113" t="str">
        <f t="shared" si="40"/>
        <v/>
      </c>
      <c r="BH19" s="113" t="str">
        <f t="shared" si="41"/>
        <v/>
      </c>
      <c r="BI19" s="113" t="str">
        <f t="shared" si="42"/>
        <v/>
      </c>
      <c r="BJ19" s="281" t="str" cm="1">
        <f t="array" ref="BJ19">IF($AH19="","",
_xlfn.IFS(
$BE19="Devis 1",
IF(ISBLANK(AR19),"",IFERROR(VALUE(TRIM(SUBSTITUTE(AR19,CHAR(160),""))),0)*IFERROR(VALUE(TRIM(SUBSTITUTE($AH19,CHAR(160),""))),0)),
$BE19="Devis 2",
IF(ISBLANK(AW19),"",IFERROR(VALUE(TRIM(SUBSTITUTE(AW19,CHAR(160),""))),0)*IFERROR(VALUE(TRIM(SUBSTITUTE($AH19,CHAR(160),""))),0)),
$BE19="Devis 3",
IF(ISBLANK(BB19),"",IFERROR(VALUE(TRIM(SUBSTITUTE(BB19,CHAR(160),""))),0)*IFERROR(VALUE(TRIM(SUBSTITUTE($AH19,CHAR(160),""))),0)),
TRUE,0
)
)</f>
        <v/>
      </c>
      <c r="BK19" s="281" t="str" cm="1">
        <f t="array" ref="BK19">IF($AH19="","",
_xlfn.IFS(
$BE19="Devis 1",
IF(ISBLANK(AS19),"",IFERROR(VALUE(TRIM(SUBSTITUTE(AS19,CHAR(160),""))),0)*IFERROR(VALUE(TRIM(SUBSTITUTE($AH19,CHAR(160),""))),0)),
$BE19="Devis 2",
IF(ISBLANK(AX19),"",IFERROR(VALUE(TRIM(SUBSTITUTE(AX19,CHAR(160),""))),0)*IFERROR(VALUE(TRIM(SUBSTITUTE($AH19,CHAR(160),""))),0)),
$BE19="Devis 3",
IF(ISBLANK(BC19),"",IFERROR(VALUE(TRIM(SUBSTITUTE(BC19,CHAR(160),""))),0)*IFERROR(VALUE(TRIM(SUBSTITUTE($AH19,CHAR(160),""))),0)),
TRUE,0
)
)</f>
        <v/>
      </c>
      <c r="BL19" s="281" t="str">
        <f t="shared" si="43"/>
        <v/>
      </c>
      <c r="BM19" s="602"/>
      <c r="BN19" s="23" t="str" cm="1">
        <f t="array" ref="BN19">IF(OR(BL19="",BI19="",BJ19="",BG19="",BK19="",BH19=""),"",_xlfn.IFS(
ROUND(IFERROR(VALUE(TRIM(SUBSTITUTE(BL19,CHAR(160),""))),0),2)&gt;
ROUND(IFERROR(VALUE(TRIM(SUBSTITUTE(BI19,CHAR(160),""))),0),2),
"KO : Le montant retenu TTC est supérieur au montant raisonnable TTC. Merci de revoir la ligne de dépense ou plafonner son montant.",
ROUND(IFERROR(VALUE(TRIM(SUBSTITUTE(BJ19,CHAR(160),""))),0),2)&gt;
ROUND(IFERROR(VALUE(TRIM(SUBSTITUTE(BG19,CHAR(160),""))),0),2),
"Attention : Le montant retenu HT est supérieur au montant HT raisonnable. Merci de revoir la ligne de dépense, plafonner son montant, ou justifier la reventillation HT / TVA.",
ROUND(IFERROR(VALUE(TRIM(SUBSTITUTE(BK19,CHAR(160),""))),0),2)&gt;
ROUND(IFERROR(VALUE(TRIM(SUBSTITUTE(BH19,CHAR(160),""))),0),2),
"Attention : Le montant TVA retenu est supérieur au montant TVA raisonnable. Merci de revoir la ligne de dépense, plafonner son montant, ou justifier la reventillation HT / TVA.",
ROUND(IFERROR(VALUE(TRIM(SUBSTITUTE(BL19,CHAR(160),""))),0),2)&gt;
ROUND(IFERROR(VALUE(TRIM(SUBSTITUTE(MIN(P19,U19,Z19),CHAR(160),""))),0),2),
"Attention : Le devis retenu n'est pas le moins cher. Une justification de la part du porteur est nécessaire.",
ROUND(IFERROR(VALUE(TRIM(SUBSTITUTE(BL19,CHAR(160),""))),0),2)=0,
"Attention : montant présenté entièrement écarté",
ROUND(IFERROR(VALUE(TRIM(SUBSTITUTE(BI19,CHAR(160),""))),0),2)=
ROUND(IFERROR(VALUE(TRIM(SUBSTITUTE(BL19,CHAR(160),""))),0),2),
"OK",
ROUND(IFERROR(VALUE(TRIM(SUBSTITUTE(BI19,CHAR(160),""))),0),2)&gt;
ROUND(IFERROR(VALUE(TRIM(SUBSTITUTE(BL19,CHAR(160),""))),0),2),
" OK : Montant instruit inférieur au montant raisonnable.",
TRUE,""
))</f>
        <v/>
      </c>
      <c r="BO19" s="23" t="str" cm="1">
        <f t="array" ref="BO19">IF(OR(BL19="",AD19="",BJ19="",AB19="",BK19="",AC19=""),"",_xlfn.IFS(
ROUND(IFERROR(VALUE(TRIM(SUBSTITUTE(BL19,CHAR(160),""))),0),2)&gt;
ROUND(IFERROR(VALUE(TRIM(SUBSTITUTE(AD19,CHAR(160),""))),0),2),
"KO : Le montant retenu TTC est supérieur au montant présenté TTC. Merci de revoir la ligne de dépense ou plafonner son montant.",
ROUND(IFERROR(VALUE(TRIM(SUBSTITUTE(BJ19,CHAR(160),""))),0),2)&gt;
ROUND(IFERROR(VALUE(TRIM(SUBSTITUTE(AB19,CHAR(160),""))),0),2),
"Attention : Le montant retenu HT est supérieur au montant HT présenté. Merci de revoir la ligne de dépense, plafonner son montant, ou justifier la reventillation HT / TVA.",
ROUND(IFERROR(VALUE(TRIM(SUBSTITUTE(BK19,CHAR(160),""))),0),2)&gt;
ROUND(IFERROR(VALUE(TRIM(SUBSTITUTE(AC19,CHAR(160),""))),0),2),
"Attention : Le montant TVA retenu est supérieur au montant TVA présenté. Merci de revoir la ligne de dépense, plafonner son montant, ou justifier la reventillation HT / TVA.",
ROUND(IFERROR(VALUE(TRIM(SUBSTITUTE(AD19,CHAR(160),""))),0),2)=0,
"",
ROUND(IFERROR(VALUE(TRIM(SUBSTITUTE(BL19,CHAR(160),""))),0),2)=
ROUND(IFERROR(VALUE(TRIM(SUBSTITUTE(AD19,CHAR(160),""))),0),2),
"OK",
ROUND(IFERROR(VALUE(TRIM(SUBSTITUTE(BL19,CHAR(160),""))),0),2)=0,
"Attention : Montant présenté entièrement rejeté.",
ROUND(IFERROR(VALUE(TRIM(SUBSTITUTE(BL19,CHAR(160),""))),0),2)&lt;
ROUND(IFERROR(VALUE(TRIM(SUBSTITUTE(AD19,CHAR(160),""))),0),2),
"Attention : Montant présenté partiellement rejeté.",
TRUE,""
))</f>
        <v/>
      </c>
      <c r="BP19" s="113" t="str">
        <f t="shared" si="44"/>
        <v/>
      </c>
      <c r="BQ19" s="113" t="str">
        <f t="shared" si="45"/>
        <v/>
      </c>
      <c r="BR19" s="33" t="str">
        <f t="shared" si="46"/>
        <v/>
      </c>
      <c r="BS19" s="115"/>
    </row>
    <row r="20" spans="1:71" ht="15" customHeight="1">
      <c r="A20" s="193">
        <v>12</v>
      </c>
      <c r="B20" s="7"/>
      <c r="C20" s="7"/>
      <c r="D20" s="19"/>
      <c r="E20" s="7"/>
      <c r="F20" s="7"/>
      <c r="G20" s="7"/>
      <c r="H20" s="7"/>
      <c r="I20" s="28"/>
      <c r="J20" s="7"/>
      <c r="K20" s="29"/>
      <c r="L20" s="678"/>
      <c r="M20" s="7"/>
      <c r="N20" s="672"/>
      <c r="O20" s="11"/>
      <c r="P20" s="107" t="str">
        <f t="shared" si="48"/>
        <v/>
      </c>
      <c r="Q20" s="699"/>
      <c r="R20" s="702"/>
      <c r="S20" s="684"/>
      <c r="T20" s="11"/>
      <c r="U20" s="107" t="str">
        <f t="shared" si="49"/>
        <v/>
      </c>
      <c r="V20" s="695"/>
      <c r="W20" s="685"/>
      <c r="X20" s="707"/>
      <c r="Y20" s="684"/>
      <c r="Z20" s="108" t="str">
        <f t="shared" si="50"/>
        <v/>
      </c>
      <c r="AA20" s="25"/>
      <c r="AB20" s="287" t="str" cm="1">
        <f t="array" ref="AB20">IF((_xlfn.IFS(TRIM(SUBSTITUTE(AA20,CHAR(160),""))="Devis 1",IFERROR(VALUE(TRIM(SUBSTITUTE(N20,CHAR(160),""))),0),TRIM(SUBSTITUTE(AA20,CHAR(160),""))="Devis 2",IFERROR(VALUE(TRIM(SUBSTITUTE(S20,CHAR(160),""))),0),TRIM(SUBSTITUTE(AA20,CHAR(160),""))="Devis 3",IFERROR(VALUE(TRIM(SUBSTITUTE(X20,CHAR(160),""))),0),TRUE,0)*IFERROR(VALUE(TRIM(SUBSTITUTE(D20,CHAR(160),""))),0))=0,"",_xlfn.IFS(TRIM(SUBSTITUTE(AA20,CHAR(160),""))="Devis 1",IFERROR(VALUE(TRIM(SUBSTITUTE(N20,CHAR(160),""))),0),TRIM(SUBSTITUTE(AA20,CHAR(160),""))="Devis 2",IFERROR(VALUE(TRIM(SUBSTITUTE(S20,CHAR(160),""))),0),TRIM(SUBSTITUTE(AA20,CHAR(160),""))="Devis 3",IFERROR(VALUE(TRIM(SUBSTITUTE(X20,CHAR(160),""))),0),TRUE,0)*IFERROR(VALUE(TRIM(SUBSTITUTE(D20,CHAR(160),""))),0))</f>
        <v/>
      </c>
      <c r="AC20" s="275" t="str" cm="1">
        <f t="array" ref="AC20">IF(_xlfn.IFS(TRIM(SUBSTITUTE(AA20,CHAR(160),""))="Devis 1",IFERROR(VALUE(TRIM(SUBSTITUTE(O20,CHAR(160),""))),0),TRIM(SUBSTITUTE(AA20,CHAR(160),""))="Devis 2",IFERROR(VALUE(TRIM(SUBSTITUTE(T20,CHAR(160),""))),0),TRIM(SUBSTITUTE(AA20,CHAR(160),""))="Devis 3",IFERROR(VALUE(TRIM(SUBSTITUTE(Y20,CHAR(160),""))),0),TRUE,0)*IFERROR(VALUE(TRIM(SUBSTITUTE(D20,CHAR(160),""))),0)=0,IF(AB20&lt;&gt;"",0,""),_xlfn.IFS(TRIM(SUBSTITUTE(AA20,CHAR(160),""))="Devis 1",IFERROR(VALUE(TRIM(SUBSTITUTE(O20,CHAR(160),""))),0),TRIM(SUBSTITUTE(AA20,CHAR(160),""))="Devis 2",IFERROR(VALUE(TRIM(SUBSTITUTE(T20,CHAR(160),""))),0),TRIM(SUBSTITUTE(AA20,CHAR(160),""))="Devis 3",IFERROR(VALUE(TRIM(SUBSTITUTE(Y20,CHAR(160),""))),0),TRUE,0)*IFERROR(VALUE(TRIM(SUBSTITUTE(D20,CHAR(160),""))),0))</f>
        <v/>
      </c>
      <c r="AD20" s="285" t="str">
        <f t="shared" si="51"/>
        <v/>
      </c>
      <c r="AE20" s="26"/>
      <c r="AF20" s="109" t="str">
        <f t="shared" si="14"/>
        <v/>
      </c>
      <c r="AG20" s="109" t="str">
        <f t="shared" si="15"/>
        <v/>
      </c>
      <c r="AH20" s="885" t="str">
        <f t="shared" si="16"/>
        <v/>
      </c>
      <c r="AI20" s="109" t="str">
        <f t="shared" si="17"/>
        <v/>
      </c>
      <c r="AJ20" s="109" t="str">
        <f t="shared" si="18"/>
        <v/>
      </c>
      <c r="AK20" s="109" t="str">
        <f t="shared" si="19"/>
        <v/>
      </c>
      <c r="AL20" s="109" t="str">
        <f t="shared" si="20"/>
        <v/>
      </c>
      <c r="AM20" s="109" t="str">
        <f t="shared" si="21"/>
        <v/>
      </c>
      <c r="AN20" s="109" t="str">
        <f t="shared" si="22"/>
        <v/>
      </c>
      <c r="AO20" s="109" t="str">
        <f t="shared" si="23"/>
        <v/>
      </c>
      <c r="AP20" s="754" t="str">
        <f t="shared" si="24"/>
        <v/>
      </c>
      <c r="AQ20" s="755" t="str">
        <f t="shared" si="25"/>
        <v/>
      </c>
      <c r="AR20" s="195" t="str">
        <f t="shared" si="26"/>
        <v/>
      </c>
      <c r="AS20" s="195" t="str">
        <f t="shared" si="27"/>
        <v/>
      </c>
      <c r="AT20" s="664" t="str">
        <f t="shared" si="28"/>
        <v/>
      </c>
      <c r="AU20" s="756" t="str">
        <f t="shared" si="29"/>
        <v/>
      </c>
      <c r="AV20" s="195" t="str">
        <f t="shared" si="30"/>
        <v/>
      </c>
      <c r="AW20" s="195" t="str">
        <f t="shared" si="31"/>
        <v/>
      </c>
      <c r="AX20" s="195" t="str">
        <f t="shared" si="32"/>
        <v/>
      </c>
      <c r="AY20" s="728" t="str">
        <f t="shared" si="33"/>
        <v/>
      </c>
      <c r="AZ20" s="195" t="str">
        <f t="shared" si="34"/>
        <v/>
      </c>
      <c r="BA20" s="195" t="str">
        <f t="shared" si="35"/>
        <v/>
      </c>
      <c r="BB20" s="195" t="str">
        <f t="shared" si="36"/>
        <v/>
      </c>
      <c r="BC20" s="195" t="str">
        <f t="shared" si="37"/>
        <v/>
      </c>
      <c r="BD20" s="112" t="str">
        <f t="shared" si="38"/>
        <v/>
      </c>
      <c r="BE20" s="109" t="str">
        <f t="shared" si="39"/>
        <v/>
      </c>
      <c r="BF20" s="602"/>
      <c r="BG20" s="113" t="str">
        <f t="shared" si="40"/>
        <v/>
      </c>
      <c r="BH20" s="113" t="str">
        <f t="shared" si="41"/>
        <v/>
      </c>
      <c r="BI20" s="113" t="str">
        <f t="shared" si="42"/>
        <v/>
      </c>
      <c r="BJ20" s="281" t="str" cm="1">
        <f t="array" ref="BJ20">IF($AH20="","",
_xlfn.IFS(
$BE20="Devis 1",
IF(ISBLANK(AR20),"",IFERROR(VALUE(TRIM(SUBSTITUTE(AR20,CHAR(160),""))),0)*IFERROR(VALUE(TRIM(SUBSTITUTE($AH20,CHAR(160),""))),0)),
$BE20="Devis 2",
IF(ISBLANK(AW20),"",IFERROR(VALUE(TRIM(SUBSTITUTE(AW20,CHAR(160),""))),0)*IFERROR(VALUE(TRIM(SUBSTITUTE($AH20,CHAR(160),""))),0)),
$BE20="Devis 3",
IF(ISBLANK(BB20),"",IFERROR(VALUE(TRIM(SUBSTITUTE(BB20,CHAR(160),""))),0)*IFERROR(VALUE(TRIM(SUBSTITUTE($AH20,CHAR(160),""))),0)),
TRUE,0
)
)</f>
        <v/>
      </c>
      <c r="BK20" s="281" t="str" cm="1">
        <f t="array" ref="BK20">IF($AH20="","",
_xlfn.IFS(
$BE20="Devis 1",
IF(ISBLANK(AS20),"",IFERROR(VALUE(TRIM(SUBSTITUTE(AS20,CHAR(160),""))),0)*IFERROR(VALUE(TRIM(SUBSTITUTE($AH20,CHAR(160),""))),0)),
$BE20="Devis 2",
IF(ISBLANK(AX20),"",IFERROR(VALUE(TRIM(SUBSTITUTE(AX20,CHAR(160),""))),0)*IFERROR(VALUE(TRIM(SUBSTITUTE($AH20,CHAR(160),""))),0)),
$BE20="Devis 3",
IF(ISBLANK(BC20),"",IFERROR(VALUE(TRIM(SUBSTITUTE(BC20,CHAR(160),""))),0)*IFERROR(VALUE(TRIM(SUBSTITUTE($AH20,CHAR(160),""))),0)),
TRUE,0
)
)</f>
        <v/>
      </c>
      <c r="BL20" s="281" t="str">
        <f t="shared" si="43"/>
        <v/>
      </c>
      <c r="BM20" s="602"/>
      <c r="BN20" s="23" t="str" cm="1">
        <f t="array" ref="BN20">IF(OR(BL20="",BI20="",BJ20="",BG20="",BK20="",BH20=""),"",_xlfn.IFS(
ROUND(IFERROR(VALUE(TRIM(SUBSTITUTE(BL20,CHAR(160),""))),0),2)&gt;
ROUND(IFERROR(VALUE(TRIM(SUBSTITUTE(BI20,CHAR(160),""))),0),2),
"KO : Le montant retenu TTC est supérieur au montant raisonnable TTC. Merci de revoir la ligne de dépense ou plafonner son montant.",
ROUND(IFERROR(VALUE(TRIM(SUBSTITUTE(BJ20,CHAR(160),""))),0),2)&gt;
ROUND(IFERROR(VALUE(TRIM(SUBSTITUTE(BG20,CHAR(160),""))),0),2),
"Attention : Le montant retenu HT est supérieur au montant HT raisonnable. Merci de revoir la ligne de dépense, plafonner son montant, ou justifier la reventillation HT / TVA.",
ROUND(IFERROR(VALUE(TRIM(SUBSTITUTE(BK20,CHAR(160),""))),0),2)&gt;
ROUND(IFERROR(VALUE(TRIM(SUBSTITUTE(BH20,CHAR(160),""))),0),2),
"Attention : Le montant TVA retenu est supérieur au montant TVA raisonnable. Merci de revoir la ligne de dépense, plafonner son montant, ou justifier la reventillation HT / TVA.",
ROUND(IFERROR(VALUE(TRIM(SUBSTITUTE(BL20,CHAR(160),""))),0),2)&gt;
ROUND(IFERROR(VALUE(TRIM(SUBSTITUTE(MIN(P20,U20,Z20),CHAR(160),""))),0),2),
"Attention : Le devis retenu n'est pas le moins cher. Une justification de la part du porteur est nécessaire.",
ROUND(IFERROR(VALUE(TRIM(SUBSTITUTE(BL20,CHAR(160),""))),0),2)=0,
"Attention : montant présenté entièrement écarté",
ROUND(IFERROR(VALUE(TRIM(SUBSTITUTE(BI20,CHAR(160),""))),0),2)=
ROUND(IFERROR(VALUE(TRIM(SUBSTITUTE(BL20,CHAR(160),""))),0),2),
"OK",
ROUND(IFERROR(VALUE(TRIM(SUBSTITUTE(BI20,CHAR(160),""))),0),2)&gt;
ROUND(IFERROR(VALUE(TRIM(SUBSTITUTE(BL20,CHAR(160),""))),0),2),
" OK : Montant instruit inférieur au montant raisonnable.",
TRUE,""
))</f>
        <v/>
      </c>
      <c r="BO20" s="23" t="str" cm="1">
        <f t="array" ref="BO20">IF(OR(BL20="",AD20="",BJ20="",AB20="",BK20="",AC20=""),"",_xlfn.IFS(
ROUND(IFERROR(VALUE(TRIM(SUBSTITUTE(BL20,CHAR(160),""))),0),2)&gt;
ROUND(IFERROR(VALUE(TRIM(SUBSTITUTE(AD20,CHAR(160),""))),0),2),
"KO : Le montant retenu TTC est supérieur au montant présenté TTC. Merci de revoir la ligne de dépense ou plafonner son montant.",
ROUND(IFERROR(VALUE(TRIM(SUBSTITUTE(BJ20,CHAR(160),""))),0),2)&gt;
ROUND(IFERROR(VALUE(TRIM(SUBSTITUTE(AB20,CHAR(160),""))),0),2),
"Attention : Le montant retenu HT est supérieur au montant HT présenté. Merci de revoir la ligne de dépense, plafonner son montant, ou justifier la reventillation HT / TVA.",
ROUND(IFERROR(VALUE(TRIM(SUBSTITUTE(BK20,CHAR(160),""))),0),2)&gt;
ROUND(IFERROR(VALUE(TRIM(SUBSTITUTE(AC20,CHAR(160),""))),0),2),
"Attention : Le montant TVA retenu est supérieur au montant TVA présenté. Merci de revoir la ligne de dépense, plafonner son montant, ou justifier la reventillation HT / TVA.",
ROUND(IFERROR(VALUE(TRIM(SUBSTITUTE(AD20,CHAR(160),""))),0),2)=0,
"",
ROUND(IFERROR(VALUE(TRIM(SUBSTITUTE(BL20,CHAR(160),""))),0),2)=
ROUND(IFERROR(VALUE(TRIM(SUBSTITUTE(AD20,CHAR(160),""))),0),2),
"OK",
ROUND(IFERROR(VALUE(TRIM(SUBSTITUTE(BL20,CHAR(160),""))),0),2)=0,
"Attention : Montant présenté entièrement rejeté.",
ROUND(IFERROR(VALUE(TRIM(SUBSTITUTE(BL20,CHAR(160),""))),0),2)&lt;
ROUND(IFERROR(VALUE(TRIM(SUBSTITUTE(AD20,CHAR(160),""))),0),2),
"Attention : Montant présenté partiellement rejeté.",
TRUE,""
))</f>
        <v/>
      </c>
      <c r="BP20" s="113" t="str">
        <f t="shared" si="44"/>
        <v/>
      </c>
      <c r="BQ20" s="113" t="str">
        <f t="shared" si="45"/>
        <v/>
      </c>
      <c r="BR20" s="33" t="str">
        <f t="shared" si="46"/>
        <v/>
      </c>
      <c r="BS20" s="115"/>
    </row>
    <row r="21" spans="1:71" ht="15" customHeight="1">
      <c r="A21" s="193">
        <v>13</v>
      </c>
      <c r="B21" s="7"/>
      <c r="C21" s="7"/>
      <c r="D21" s="19"/>
      <c r="E21" s="7"/>
      <c r="F21" s="7"/>
      <c r="G21" s="7"/>
      <c r="H21" s="7"/>
      <c r="I21" s="28"/>
      <c r="J21" s="7"/>
      <c r="K21" s="29"/>
      <c r="L21" s="678"/>
      <c r="M21" s="7"/>
      <c r="N21" s="672"/>
      <c r="O21" s="11"/>
      <c r="P21" s="107" t="str">
        <f t="shared" si="48"/>
        <v/>
      </c>
      <c r="Q21" s="699"/>
      <c r="R21" s="702"/>
      <c r="S21" s="684"/>
      <c r="T21" s="11"/>
      <c r="U21" s="107" t="str">
        <f t="shared" si="49"/>
        <v/>
      </c>
      <c r="V21" s="695"/>
      <c r="W21" s="685"/>
      <c r="X21" s="707"/>
      <c r="Y21" s="684"/>
      <c r="Z21" s="108" t="str">
        <f t="shared" si="50"/>
        <v/>
      </c>
      <c r="AA21" s="25"/>
      <c r="AB21" s="287" t="str" cm="1">
        <f t="array" ref="AB21">IF((_xlfn.IFS(TRIM(SUBSTITUTE(AA21,CHAR(160),""))="Devis 1",IFERROR(VALUE(TRIM(SUBSTITUTE(N21,CHAR(160),""))),0),TRIM(SUBSTITUTE(AA21,CHAR(160),""))="Devis 2",IFERROR(VALUE(TRIM(SUBSTITUTE(S21,CHAR(160),""))),0),TRIM(SUBSTITUTE(AA21,CHAR(160),""))="Devis 3",IFERROR(VALUE(TRIM(SUBSTITUTE(X21,CHAR(160),""))),0),TRUE,0)*IFERROR(VALUE(TRIM(SUBSTITUTE(D21,CHAR(160),""))),0))=0,"",_xlfn.IFS(TRIM(SUBSTITUTE(AA21,CHAR(160),""))="Devis 1",IFERROR(VALUE(TRIM(SUBSTITUTE(N21,CHAR(160),""))),0),TRIM(SUBSTITUTE(AA21,CHAR(160),""))="Devis 2",IFERROR(VALUE(TRIM(SUBSTITUTE(S21,CHAR(160),""))),0),TRIM(SUBSTITUTE(AA21,CHAR(160),""))="Devis 3",IFERROR(VALUE(TRIM(SUBSTITUTE(X21,CHAR(160),""))),0),TRUE,0)*IFERROR(VALUE(TRIM(SUBSTITUTE(D21,CHAR(160),""))),0))</f>
        <v/>
      </c>
      <c r="AC21" s="275" t="str" cm="1">
        <f t="array" ref="AC21">IF(_xlfn.IFS(TRIM(SUBSTITUTE(AA21,CHAR(160),""))="Devis 1",IFERROR(VALUE(TRIM(SUBSTITUTE(O21,CHAR(160),""))),0),TRIM(SUBSTITUTE(AA21,CHAR(160),""))="Devis 2",IFERROR(VALUE(TRIM(SUBSTITUTE(T21,CHAR(160),""))),0),TRIM(SUBSTITUTE(AA21,CHAR(160),""))="Devis 3",IFERROR(VALUE(TRIM(SUBSTITUTE(Y21,CHAR(160),""))),0),TRUE,0)*IFERROR(VALUE(TRIM(SUBSTITUTE(D21,CHAR(160),""))),0)=0,IF(AB21&lt;&gt;"",0,""),_xlfn.IFS(TRIM(SUBSTITUTE(AA21,CHAR(160),""))="Devis 1",IFERROR(VALUE(TRIM(SUBSTITUTE(O21,CHAR(160),""))),0),TRIM(SUBSTITUTE(AA21,CHAR(160),""))="Devis 2",IFERROR(VALUE(TRIM(SUBSTITUTE(T21,CHAR(160),""))),0),TRIM(SUBSTITUTE(AA21,CHAR(160),""))="Devis 3",IFERROR(VALUE(TRIM(SUBSTITUTE(Y21,CHAR(160),""))),0),TRUE,0)*IFERROR(VALUE(TRIM(SUBSTITUTE(D21,CHAR(160),""))),0))</f>
        <v/>
      </c>
      <c r="AD21" s="285" t="str">
        <f t="shared" si="51"/>
        <v/>
      </c>
      <c r="AE21" s="26"/>
      <c r="AF21" s="109" t="str">
        <f t="shared" si="14"/>
        <v/>
      </c>
      <c r="AG21" s="109" t="str">
        <f t="shared" si="15"/>
        <v/>
      </c>
      <c r="AH21" s="885" t="str">
        <f t="shared" si="16"/>
        <v/>
      </c>
      <c r="AI21" s="109" t="str">
        <f t="shared" si="17"/>
        <v/>
      </c>
      <c r="AJ21" s="109" t="str">
        <f t="shared" si="18"/>
        <v/>
      </c>
      <c r="AK21" s="109" t="str">
        <f t="shared" si="19"/>
        <v/>
      </c>
      <c r="AL21" s="109" t="str">
        <f t="shared" si="20"/>
        <v/>
      </c>
      <c r="AM21" s="109" t="str">
        <f t="shared" si="21"/>
        <v/>
      </c>
      <c r="AN21" s="109" t="str">
        <f t="shared" si="22"/>
        <v/>
      </c>
      <c r="AO21" s="109" t="str">
        <f t="shared" si="23"/>
        <v/>
      </c>
      <c r="AP21" s="754" t="str">
        <f t="shared" si="24"/>
        <v/>
      </c>
      <c r="AQ21" s="755" t="str">
        <f t="shared" si="25"/>
        <v/>
      </c>
      <c r="AR21" s="195" t="str">
        <f t="shared" si="26"/>
        <v/>
      </c>
      <c r="AS21" s="195" t="str">
        <f t="shared" si="27"/>
        <v/>
      </c>
      <c r="AT21" s="664" t="str">
        <f t="shared" si="28"/>
        <v/>
      </c>
      <c r="AU21" s="756" t="str">
        <f t="shared" si="29"/>
        <v/>
      </c>
      <c r="AV21" s="195" t="str">
        <f t="shared" si="30"/>
        <v/>
      </c>
      <c r="AW21" s="195" t="str">
        <f t="shared" si="31"/>
        <v/>
      </c>
      <c r="AX21" s="195" t="str">
        <f t="shared" si="32"/>
        <v/>
      </c>
      <c r="AY21" s="728" t="str">
        <f t="shared" si="33"/>
        <v/>
      </c>
      <c r="AZ21" s="195" t="str">
        <f t="shared" si="34"/>
        <v/>
      </c>
      <c r="BA21" s="195" t="str">
        <f t="shared" si="35"/>
        <v/>
      </c>
      <c r="BB21" s="195" t="str">
        <f t="shared" si="36"/>
        <v/>
      </c>
      <c r="BC21" s="195" t="str">
        <f t="shared" si="37"/>
        <v/>
      </c>
      <c r="BD21" s="112" t="str">
        <f t="shared" si="38"/>
        <v/>
      </c>
      <c r="BE21" s="109" t="str">
        <f t="shared" si="39"/>
        <v/>
      </c>
      <c r="BF21" s="602"/>
      <c r="BG21" s="113" t="str">
        <f t="shared" si="40"/>
        <v/>
      </c>
      <c r="BH21" s="113" t="str">
        <f t="shared" si="41"/>
        <v/>
      </c>
      <c r="BI21" s="113" t="str">
        <f t="shared" si="42"/>
        <v/>
      </c>
      <c r="BJ21" s="281" t="str" cm="1">
        <f t="array" ref="BJ21">IF($AH21="","",
_xlfn.IFS(
$BE21="Devis 1",
IF(ISBLANK(AR21),"",IFERROR(VALUE(TRIM(SUBSTITUTE(AR21,CHAR(160),""))),0)*IFERROR(VALUE(TRIM(SUBSTITUTE($AH21,CHAR(160),""))),0)),
$BE21="Devis 2",
IF(ISBLANK(AW21),"",IFERROR(VALUE(TRIM(SUBSTITUTE(AW21,CHAR(160),""))),0)*IFERROR(VALUE(TRIM(SUBSTITUTE($AH21,CHAR(160),""))),0)),
$BE21="Devis 3",
IF(ISBLANK(BB21),"",IFERROR(VALUE(TRIM(SUBSTITUTE(BB21,CHAR(160),""))),0)*IFERROR(VALUE(TRIM(SUBSTITUTE($AH21,CHAR(160),""))),0)),
TRUE,0
)
)</f>
        <v/>
      </c>
      <c r="BK21" s="281" t="str" cm="1">
        <f t="array" ref="BK21">IF($AH21="","",
_xlfn.IFS(
$BE21="Devis 1",
IF(ISBLANK(AS21),"",IFERROR(VALUE(TRIM(SUBSTITUTE(AS21,CHAR(160),""))),0)*IFERROR(VALUE(TRIM(SUBSTITUTE($AH21,CHAR(160),""))),0)),
$BE21="Devis 2",
IF(ISBLANK(AX21),"",IFERROR(VALUE(TRIM(SUBSTITUTE(AX21,CHAR(160),""))),0)*IFERROR(VALUE(TRIM(SUBSTITUTE($AH21,CHAR(160),""))),0)),
$BE21="Devis 3",
IF(ISBLANK(BC21),"",IFERROR(VALUE(TRIM(SUBSTITUTE(BC21,CHAR(160),""))),0)*IFERROR(VALUE(TRIM(SUBSTITUTE($AH21,CHAR(160),""))),0)),
TRUE,0
)
)</f>
        <v/>
      </c>
      <c r="BL21" s="281" t="str">
        <f t="shared" si="43"/>
        <v/>
      </c>
      <c r="BM21" s="602"/>
      <c r="BN21" s="23" t="str" cm="1">
        <f t="array" ref="BN21">IF(OR(BL21="",BI21="",BJ21="",BG21="",BK21="",BH21=""),"",_xlfn.IFS(
ROUND(IFERROR(VALUE(TRIM(SUBSTITUTE(BL21,CHAR(160),""))),0),2)&gt;
ROUND(IFERROR(VALUE(TRIM(SUBSTITUTE(BI21,CHAR(160),""))),0),2),
"KO : Le montant retenu TTC est supérieur au montant raisonnable TTC. Merci de revoir la ligne de dépense ou plafonner son montant.",
ROUND(IFERROR(VALUE(TRIM(SUBSTITUTE(BJ21,CHAR(160),""))),0),2)&gt;
ROUND(IFERROR(VALUE(TRIM(SUBSTITUTE(BG21,CHAR(160),""))),0),2),
"Attention : Le montant retenu HT est supérieur au montant HT raisonnable. Merci de revoir la ligne de dépense, plafonner son montant, ou justifier la reventillation HT / TVA.",
ROUND(IFERROR(VALUE(TRIM(SUBSTITUTE(BK21,CHAR(160),""))),0),2)&gt;
ROUND(IFERROR(VALUE(TRIM(SUBSTITUTE(BH21,CHAR(160),""))),0),2),
"Attention : Le montant TVA retenu est supérieur au montant TVA raisonnable. Merci de revoir la ligne de dépense, plafonner son montant, ou justifier la reventillation HT / TVA.",
ROUND(IFERROR(VALUE(TRIM(SUBSTITUTE(BL21,CHAR(160),""))),0),2)&gt;
ROUND(IFERROR(VALUE(TRIM(SUBSTITUTE(MIN(P21,U21,Z21),CHAR(160),""))),0),2),
"Attention : Le devis retenu n'est pas le moins cher. Une justification de la part du porteur est nécessaire.",
ROUND(IFERROR(VALUE(TRIM(SUBSTITUTE(BL21,CHAR(160),""))),0),2)=0,
"Attention : montant présenté entièrement écarté",
ROUND(IFERROR(VALUE(TRIM(SUBSTITUTE(BI21,CHAR(160),""))),0),2)=
ROUND(IFERROR(VALUE(TRIM(SUBSTITUTE(BL21,CHAR(160),""))),0),2),
"OK",
ROUND(IFERROR(VALUE(TRIM(SUBSTITUTE(BI21,CHAR(160),""))),0),2)&gt;
ROUND(IFERROR(VALUE(TRIM(SUBSTITUTE(BL21,CHAR(160),""))),0),2),
" OK : Montant instruit inférieur au montant raisonnable.",
TRUE,""
))</f>
        <v/>
      </c>
      <c r="BO21" s="23" t="str" cm="1">
        <f t="array" ref="BO21">IF(OR(BL21="",AD21="",BJ21="",AB21="",BK21="",AC21=""),"",_xlfn.IFS(
ROUND(IFERROR(VALUE(TRIM(SUBSTITUTE(BL21,CHAR(160),""))),0),2)&gt;
ROUND(IFERROR(VALUE(TRIM(SUBSTITUTE(AD21,CHAR(160),""))),0),2),
"KO : Le montant retenu TTC est supérieur au montant présenté TTC. Merci de revoir la ligne de dépense ou plafonner son montant.",
ROUND(IFERROR(VALUE(TRIM(SUBSTITUTE(BJ21,CHAR(160),""))),0),2)&gt;
ROUND(IFERROR(VALUE(TRIM(SUBSTITUTE(AB21,CHAR(160),""))),0),2),
"Attention : Le montant retenu HT est supérieur au montant HT présenté. Merci de revoir la ligne de dépense, plafonner son montant, ou justifier la reventillation HT / TVA.",
ROUND(IFERROR(VALUE(TRIM(SUBSTITUTE(BK21,CHAR(160),""))),0),2)&gt;
ROUND(IFERROR(VALUE(TRIM(SUBSTITUTE(AC21,CHAR(160),""))),0),2),
"Attention : Le montant TVA retenu est supérieur au montant TVA présenté. Merci de revoir la ligne de dépense, plafonner son montant, ou justifier la reventillation HT / TVA.",
ROUND(IFERROR(VALUE(TRIM(SUBSTITUTE(AD21,CHAR(160),""))),0),2)=0,
"",
ROUND(IFERROR(VALUE(TRIM(SUBSTITUTE(BL21,CHAR(160),""))),0),2)=
ROUND(IFERROR(VALUE(TRIM(SUBSTITUTE(AD21,CHAR(160),""))),0),2),
"OK",
ROUND(IFERROR(VALUE(TRIM(SUBSTITUTE(BL21,CHAR(160),""))),0),2)=0,
"Attention : Montant présenté entièrement rejeté.",
ROUND(IFERROR(VALUE(TRIM(SUBSTITUTE(BL21,CHAR(160),""))),0),2)&lt;
ROUND(IFERROR(VALUE(TRIM(SUBSTITUTE(AD21,CHAR(160),""))),0),2),
"Attention : Montant présenté partiellement rejeté.",
TRUE,""
))</f>
        <v/>
      </c>
      <c r="BP21" s="113" t="str">
        <f t="shared" si="44"/>
        <v/>
      </c>
      <c r="BQ21" s="113" t="str">
        <f t="shared" si="45"/>
        <v/>
      </c>
      <c r="BR21" s="33" t="str">
        <f t="shared" si="46"/>
        <v/>
      </c>
      <c r="BS21" s="115"/>
    </row>
    <row r="22" spans="1:71" ht="15" customHeight="1">
      <c r="A22" s="193">
        <v>14</v>
      </c>
      <c r="B22" s="7"/>
      <c r="C22" s="7"/>
      <c r="D22" s="19"/>
      <c r="E22" s="7"/>
      <c r="F22" s="7"/>
      <c r="G22" s="7"/>
      <c r="H22" s="7"/>
      <c r="I22" s="28"/>
      <c r="J22" s="7"/>
      <c r="K22" s="29"/>
      <c r="L22" s="678"/>
      <c r="M22" s="7"/>
      <c r="N22" s="672"/>
      <c r="O22" s="11"/>
      <c r="P22" s="107" t="str">
        <f t="shared" si="48"/>
        <v/>
      </c>
      <c r="Q22" s="699"/>
      <c r="R22" s="702"/>
      <c r="S22" s="684"/>
      <c r="T22" s="11"/>
      <c r="U22" s="107" t="str">
        <f t="shared" si="49"/>
        <v/>
      </c>
      <c r="V22" s="695"/>
      <c r="W22" s="685"/>
      <c r="X22" s="707"/>
      <c r="Y22" s="684"/>
      <c r="Z22" s="108" t="str">
        <f t="shared" si="50"/>
        <v/>
      </c>
      <c r="AA22" s="25"/>
      <c r="AB22" s="287" t="str" cm="1">
        <f t="array" ref="AB22">IF((_xlfn.IFS(TRIM(SUBSTITUTE(AA22,CHAR(160),""))="Devis 1",IFERROR(VALUE(TRIM(SUBSTITUTE(N22,CHAR(160),""))),0),TRIM(SUBSTITUTE(AA22,CHAR(160),""))="Devis 2",IFERROR(VALUE(TRIM(SUBSTITUTE(S22,CHAR(160),""))),0),TRIM(SUBSTITUTE(AA22,CHAR(160),""))="Devis 3",IFERROR(VALUE(TRIM(SUBSTITUTE(X22,CHAR(160),""))),0),TRUE,0)*IFERROR(VALUE(TRIM(SUBSTITUTE(D22,CHAR(160),""))),0))=0,"",_xlfn.IFS(TRIM(SUBSTITUTE(AA22,CHAR(160),""))="Devis 1",IFERROR(VALUE(TRIM(SUBSTITUTE(N22,CHAR(160),""))),0),TRIM(SUBSTITUTE(AA22,CHAR(160),""))="Devis 2",IFERROR(VALUE(TRIM(SUBSTITUTE(S22,CHAR(160),""))),0),TRIM(SUBSTITUTE(AA22,CHAR(160),""))="Devis 3",IFERROR(VALUE(TRIM(SUBSTITUTE(X22,CHAR(160),""))),0),TRUE,0)*IFERROR(VALUE(TRIM(SUBSTITUTE(D22,CHAR(160),""))),0))</f>
        <v/>
      </c>
      <c r="AC22" s="275" t="str" cm="1">
        <f t="array" ref="AC22">IF(_xlfn.IFS(TRIM(SUBSTITUTE(AA22,CHAR(160),""))="Devis 1",IFERROR(VALUE(TRIM(SUBSTITUTE(O22,CHAR(160),""))),0),TRIM(SUBSTITUTE(AA22,CHAR(160),""))="Devis 2",IFERROR(VALUE(TRIM(SUBSTITUTE(T22,CHAR(160),""))),0),TRIM(SUBSTITUTE(AA22,CHAR(160),""))="Devis 3",IFERROR(VALUE(TRIM(SUBSTITUTE(Y22,CHAR(160),""))),0),TRUE,0)*IFERROR(VALUE(TRIM(SUBSTITUTE(D22,CHAR(160),""))),0)=0,IF(AB22&lt;&gt;"",0,""),_xlfn.IFS(TRIM(SUBSTITUTE(AA22,CHAR(160),""))="Devis 1",IFERROR(VALUE(TRIM(SUBSTITUTE(O22,CHAR(160),""))),0),TRIM(SUBSTITUTE(AA22,CHAR(160),""))="Devis 2",IFERROR(VALUE(TRIM(SUBSTITUTE(T22,CHAR(160),""))),0),TRIM(SUBSTITUTE(AA22,CHAR(160),""))="Devis 3",IFERROR(VALUE(TRIM(SUBSTITUTE(Y22,CHAR(160),""))),0),TRUE,0)*IFERROR(VALUE(TRIM(SUBSTITUTE(D22,CHAR(160),""))),0))</f>
        <v/>
      </c>
      <c r="AD22" s="285" t="str">
        <f t="shared" si="51"/>
        <v/>
      </c>
      <c r="AE22" s="26"/>
      <c r="AF22" s="109" t="str">
        <f t="shared" si="14"/>
        <v/>
      </c>
      <c r="AG22" s="109" t="str">
        <f t="shared" si="15"/>
        <v/>
      </c>
      <c r="AH22" s="885" t="str">
        <f t="shared" si="16"/>
        <v/>
      </c>
      <c r="AI22" s="109" t="str">
        <f t="shared" si="17"/>
        <v/>
      </c>
      <c r="AJ22" s="109" t="str">
        <f t="shared" si="18"/>
        <v/>
      </c>
      <c r="AK22" s="109" t="str">
        <f t="shared" si="19"/>
        <v/>
      </c>
      <c r="AL22" s="109" t="str">
        <f t="shared" si="20"/>
        <v/>
      </c>
      <c r="AM22" s="109" t="str">
        <f t="shared" si="21"/>
        <v/>
      </c>
      <c r="AN22" s="109" t="str">
        <f t="shared" si="22"/>
        <v/>
      </c>
      <c r="AO22" s="109" t="str">
        <f t="shared" si="23"/>
        <v/>
      </c>
      <c r="AP22" s="754" t="str">
        <f t="shared" si="24"/>
        <v/>
      </c>
      <c r="AQ22" s="755" t="str">
        <f t="shared" si="25"/>
        <v/>
      </c>
      <c r="AR22" s="195" t="str">
        <f t="shared" si="26"/>
        <v/>
      </c>
      <c r="AS22" s="195" t="str">
        <f t="shared" si="27"/>
        <v/>
      </c>
      <c r="AT22" s="664" t="str">
        <f t="shared" si="28"/>
        <v/>
      </c>
      <c r="AU22" s="756" t="str">
        <f t="shared" si="29"/>
        <v/>
      </c>
      <c r="AV22" s="195" t="str">
        <f t="shared" si="30"/>
        <v/>
      </c>
      <c r="AW22" s="195" t="str">
        <f t="shared" si="31"/>
        <v/>
      </c>
      <c r="AX22" s="195" t="str">
        <f t="shared" si="32"/>
        <v/>
      </c>
      <c r="AY22" s="728" t="str">
        <f t="shared" si="33"/>
        <v/>
      </c>
      <c r="AZ22" s="195" t="str">
        <f t="shared" si="34"/>
        <v/>
      </c>
      <c r="BA22" s="195" t="str">
        <f t="shared" si="35"/>
        <v/>
      </c>
      <c r="BB22" s="195" t="str">
        <f t="shared" si="36"/>
        <v/>
      </c>
      <c r="BC22" s="195" t="str">
        <f t="shared" si="37"/>
        <v/>
      </c>
      <c r="BD22" s="112" t="str">
        <f t="shared" si="38"/>
        <v/>
      </c>
      <c r="BE22" s="109" t="str">
        <f t="shared" si="39"/>
        <v/>
      </c>
      <c r="BF22" s="602"/>
      <c r="BG22" s="113" t="str">
        <f t="shared" si="40"/>
        <v/>
      </c>
      <c r="BH22" s="113" t="str">
        <f t="shared" si="41"/>
        <v/>
      </c>
      <c r="BI22" s="113" t="str">
        <f t="shared" si="42"/>
        <v/>
      </c>
      <c r="BJ22" s="281" t="str" cm="1">
        <f t="array" ref="BJ22">IF($AH22="","",
_xlfn.IFS(
$BE22="Devis 1",
IF(ISBLANK(AR22),"",IFERROR(VALUE(TRIM(SUBSTITUTE(AR22,CHAR(160),""))),0)*IFERROR(VALUE(TRIM(SUBSTITUTE($AH22,CHAR(160),""))),0)),
$BE22="Devis 2",
IF(ISBLANK(AW22),"",IFERROR(VALUE(TRIM(SUBSTITUTE(AW22,CHAR(160),""))),0)*IFERROR(VALUE(TRIM(SUBSTITUTE($AH22,CHAR(160),""))),0)),
$BE22="Devis 3",
IF(ISBLANK(BB22),"",IFERROR(VALUE(TRIM(SUBSTITUTE(BB22,CHAR(160),""))),0)*IFERROR(VALUE(TRIM(SUBSTITUTE($AH22,CHAR(160),""))),0)),
TRUE,0
)
)</f>
        <v/>
      </c>
      <c r="BK22" s="281" t="str" cm="1">
        <f t="array" ref="BK22">IF($AH22="","",
_xlfn.IFS(
$BE22="Devis 1",
IF(ISBLANK(AS22),"",IFERROR(VALUE(TRIM(SUBSTITUTE(AS22,CHAR(160),""))),0)*IFERROR(VALUE(TRIM(SUBSTITUTE($AH22,CHAR(160),""))),0)),
$BE22="Devis 2",
IF(ISBLANK(AX22),"",IFERROR(VALUE(TRIM(SUBSTITUTE(AX22,CHAR(160),""))),0)*IFERROR(VALUE(TRIM(SUBSTITUTE($AH22,CHAR(160),""))),0)),
$BE22="Devis 3",
IF(ISBLANK(BC22),"",IFERROR(VALUE(TRIM(SUBSTITUTE(BC22,CHAR(160),""))),0)*IFERROR(VALUE(TRIM(SUBSTITUTE($AH22,CHAR(160),""))),0)),
TRUE,0
)
)</f>
        <v/>
      </c>
      <c r="BL22" s="281" t="str">
        <f t="shared" si="43"/>
        <v/>
      </c>
      <c r="BM22" s="602"/>
      <c r="BN22" s="23" t="str" cm="1">
        <f t="array" ref="BN22">IF(OR(BL22="",BI22="",BJ22="",BG22="",BK22="",BH22=""),"",_xlfn.IFS(
ROUND(IFERROR(VALUE(TRIM(SUBSTITUTE(BL22,CHAR(160),""))),0),2)&gt;
ROUND(IFERROR(VALUE(TRIM(SUBSTITUTE(BI22,CHAR(160),""))),0),2),
"KO : Le montant retenu TTC est supérieur au montant raisonnable TTC. Merci de revoir la ligne de dépense ou plafonner son montant.",
ROUND(IFERROR(VALUE(TRIM(SUBSTITUTE(BJ22,CHAR(160),""))),0),2)&gt;
ROUND(IFERROR(VALUE(TRIM(SUBSTITUTE(BG22,CHAR(160),""))),0),2),
"Attention : Le montant retenu HT est supérieur au montant HT raisonnable. Merci de revoir la ligne de dépense, plafonner son montant, ou justifier la reventillation HT / TVA.",
ROUND(IFERROR(VALUE(TRIM(SUBSTITUTE(BK22,CHAR(160),""))),0),2)&gt;
ROUND(IFERROR(VALUE(TRIM(SUBSTITUTE(BH22,CHAR(160),""))),0),2),
"Attention : Le montant TVA retenu est supérieur au montant TVA raisonnable. Merci de revoir la ligne de dépense, plafonner son montant, ou justifier la reventillation HT / TVA.",
ROUND(IFERROR(VALUE(TRIM(SUBSTITUTE(BL22,CHAR(160),""))),0),2)&gt;
ROUND(IFERROR(VALUE(TRIM(SUBSTITUTE(MIN(P22,U22,Z22),CHAR(160),""))),0),2),
"Attention : Le devis retenu n'est pas le moins cher. Une justification de la part du porteur est nécessaire.",
ROUND(IFERROR(VALUE(TRIM(SUBSTITUTE(BL22,CHAR(160),""))),0),2)=0,
"Attention : montant présenté entièrement écarté",
ROUND(IFERROR(VALUE(TRIM(SUBSTITUTE(BI22,CHAR(160),""))),0),2)=
ROUND(IFERROR(VALUE(TRIM(SUBSTITUTE(BL22,CHAR(160),""))),0),2),
"OK",
ROUND(IFERROR(VALUE(TRIM(SUBSTITUTE(BI22,CHAR(160),""))),0),2)&gt;
ROUND(IFERROR(VALUE(TRIM(SUBSTITUTE(BL22,CHAR(160),""))),0),2),
" OK : Montant instruit inférieur au montant raisonnable.",
TRUE,""
))</f>
        <v/>
      </c>
      <c r="BO22" s="23" t="str" cm="1">
        <f t="array" ref="BO22">IF(OR(BL22="",AD22="",BJ22="",AB22="",BK22="",AC22=""),"",_xlfn.IFS(
ROUND(IFERROR(VALUE(TRIM(SUBSTITUTE(BL22,CHAR(160),""))),0),2)&gt;
ROUND(IFERROR(VALUE(TRIM(SUBSTITUTE(AD22,CHAR(160),""))),0),2),
"KO : Le montant retenu TTC est supérieur au montant présenté TTC. Merci de revoir la ligne de dépense ou plafonner son montant.",
ROUND(IFERROR(VALUE(TRIM(SUBSTITUTE(BJ22,CHAR(160),""))),0),2)&gt;
ROUND(IFERROR(VALUE(TRIM(SUBSTITUTE(AB22,CHAR(160),""))),0),2),
"Attention : Le montant retenu HT est supérieur au montant HT présenté. Merci de revoir la ligne de dépense, plafonner son montant, ou justifier la reventillation HT / TVA.",
ROUND(IFERROR(VALUE(TRIM(SUBSTITUTE(BK22,CHAR(160),""))),0),2)&gt;
ROUND(IFERROR(VALUE(TRIM(SUBSTITUTE(AC22,CHAR(160),""))),0),2),
"Attention : Le montant TVA retenu est supérieur au montant TVA présenté. Merci de revoir la ligne de dépense, plafonner son montant, ou justifier la reventillation HT / TVA.",
ROUND(IFERROR(VALUE(TRIM(SUBSTITUTE(AD22,CHAR(160),""))),0),2)=0,
"",
ROUND(IFERROR(VALUE(TRIM(SUBSTITUTE(BL22,CHAR(160),""))),0),2)=
ROUND(IFERROR(VALUE(TRIM(SUBSTITUTE(AD22,CHAR(160),""))),0),2),
"OK",
ROUND(IFERROR(VALUE(TRIM(SUBSTITUTE(BL22,CHAR(160),""))),0),2)=0,
"Attention : Montant présenté entièrement rejeté.",
ROUND(IFERROR(VALUE(TRIM(SUBSTITUTE(BL22,CHAR(160),""))),0),2)&lt;
ROUND(IFERROR(VALUE(TRIM(SUBSTITUTE(AD22,CHAR(160),""))),0),2),
"Attention : Montant présenté partiellement rejeté.",
TRUE,""
))</f>
        <v/>
      </c>
      <c r="BP22" s="113" t="str">
        <f t="shared" si="44"/>
        <v/>
      </c>
      <c r="BQ22" s="113" t="str">
        <f t="shared" si="45"/>
        <v/>
      </c>
      <c r="BR22" s="33" t="str">
        <f t="shared" si="46"/>
        <v/>
      </c>
      <c r="BS22" s="115"/>
    </row>
    <row r="23" spans="1:71" ht="15" customHeight="1">
      <c r="A23" s="193">
        <v>15</v>
      </c>
      <c r="B23" s="7"/>
      <c r="C23" s="7"/>
      <c r="D23" s="19"/>
      <c r="E23" s="7"/>
      <c r="F23" s="7"/>
      <c r="G23" s="7"/>
      <c r="H23" s="7"/>
      <c r="I23" s="28"/>
      <c r="J23" s="7"/>
      <c r="K23" s="29"/>
      <c r="L23" s="678"/>
      <c r="M23" s="7"/>
      <c r="N23" s="672"/>
      <c r="O23" s="11"/>
      <c r="P23" s="107" t="str">
        <f t="shared" si="48"/>
        <v/>
      </c>
      <c r="Q23" s="699"/>
      <c r="R23" s="702"/>
      <c r="S23" s="684"/>
      <c r="T23" s="11"/>
      <c r="U23" s="107" t="str">
        <f t="shared" si="49"/>
        <v/>
      </c>
      <c r="V23" s="695"/>
      <c r="W23" s="685"/>
      <c r="X23" s="707"/>
      <c r="Y23" s="684"/>
      <c r="Z23" s="108" t="str">
        <f t="shared" si="50"/>
        <v/>
      </c>
      <c r="AA23" s="25"/>
      <c r="AB23" s="287" t="str" cm="1">
        <f t="array" ref="AB23">IF((_xlfn.IFS(TRIM(SUBSTITUTE(AA23,CHAR(160),""))="Devis 1",IFERROR(VALUE(TRIM(SUBSTITUTE(N23,CHAR(160),""))),0),TRIM(SUBSTITUTE(AA23,CHAR(160),""))="Devis 2",IFERROR(VALUE(TRIM(SUBSTITUTE(S23,CHAR(160),""))),0),TRIM(SUBSTITUTE(AA23,CHAR(160),""))="Devis 3",IFERROR(VALUE(TRIM(SUBSTITUTE(X23,CHAR(160),""))),0),TRUE,0)*IFERROR(VALUE(TRIM(SUBSTITUTE(D23,CHAR(160),""))),0))=0,"",_xlfn.IFS(TRIM(SUBSTITUTE(AA23,CHAR(160),""))="Devis 1",IFERROR(VALUE(TRIM(SUBSTITUTE(N23,CHAR(160),""))),0),TRIM(SUBSTITUTE(AA23,CHAR(160),""))="Devis 2",IFERROR(VALUE(TRIM(SUBSTITUTE(S23,CHAR(160),""))),0),TRIM(SUBSTITUTE(AA23,CHAR(160),""))="Devis 3",IFERROR(VALUE(TRIM(SUBSTITUTE(X23,CHAR(160),""))),0),TRUE,0)*IFERROR(VALUE(TRIM(SUBSTITUTE(D23,CHAR(160),""))),0))</f>
        <v/>
      </c>
      <c r="AC23" s="275" t="str" cm="1">
        <f t="array" ref="AC23">IF(_xlfn.IFS(TRIM(SUBSTITUTE(AA23,CHAR(160),""))="Devis 1",IFERROR(VALUE(TRIM(SUBSTITUTE(O23,CHAR(160),""))),0),TRIM(SUBSTITUTE(AA23,CHAR(160),""))="Devis 2",IFERROR(VALUE(TRIM(SUBSTITUTE(T23,CHAR(160),""))),0),TRIM(SUBSTITUTE(AA23,CHAR(160),""))="Devis 3",IFERROR(VALUE(TRIM(SUBSTITUTE(Y23,CHAR(160),""))),0),TRUE,0)*IFERROR(VALUE(TRIM(SUBSTITUTE(D23,CHAR(160),""))),0)=0,IF(AB23&lt;&gt;"",0,""),_xlfn.IFS(TRIM(SUBSTITUTE(AA23,CHAR(160),""))="Devis 1",IFERROR(VALUE(TRIM(SUBSTITUTE(O23,CHAR(160),""))),0),TRIM(SUBSTITUTE(AA23,CHAR(160),""))="Devis 2",IFERROR(VALUE(TRIM(SUBSTITUTE(T23,CHAR(160),""))),0),TRIM(SUBSTITUTE(AA23,CHAR(160),""))="Devis 3",IFERROR(VALUE(TRIM(SUBSTITUTE(Y23,CHAR(160),""))),0),TRUE,0)*IFERROR(VALUE(TRIM(SUBSTITUTE(D23,CHAR(160),""))),0))</f>
        <v/>
      </c>
      <c r="AD23" s="285" t="str">
        <f t="shared" si="51"/>
        <v/>
      </c>
      <c r="AE23" s="26"/>
      <c r="AF23" s="109" t="str">
        <f t="shared" si="14"/>
        <v/>
      </c>
      <c r="AG23" s="109" t="str">
        <f t="shared" si="15"/>
        <v/>
      </c>
      <c r="AH23" s="885" t="str">
        <f t="shared" si="16"/>
        <v/>
      </c>
      <c r="AI23" s="109" t="str">
        <f t="shared" si="17"/>
        <v/>
      </c>
      <c r="AJ23" s="109" t="str">
        <f t="shared" si="18"/>
        <v/>
      </c>
      <c r="AK23" s="109" t="str">
        <f t="shared" si="19"/>
        <v/>
      </c>
      <c r="AL23" s="109" t="str">
        <f t="shared" si="20"/>
        <v/>
      </c>
      <c r="AM23" s="109" t="str">
        <f t="shared" si="21"/>
        <v/>
      </c>
      <c r="AN23" s="109" t="str">
        <f t="shared" si="22"/>
        <v/>
      </c>
      <c r="AO23" s="109" t="str">
        <f t="shared" si="23"/>
        <v/>
      </c>
      <c r="AP23" s="754" t="str">
        <f t="shared" si="24"/>
        <v/>
      </c>
      <c r="AQ23" s="755" t="str">
        <f t="shared" si="25"/>
        <v/>
      </c>
      <c r="AR23" s="195" t="str">
        <f t="shared" si="26"/>
        <v/>
      </c>
      <c r="AS23" s="195" t="str">
        <f t="shared" si="27"/>
        <v/>
      </c>
      <c r="AT23" s="664" t="str">
        <f t="shared" si="28"/>
        <v/>
      </c>
      <c r="AU23" s="756" t="str">
        <f t="shared" si="29"/>
        <v/>
      </c>
      <c r="AV23" s="195" t="str">
        <f t="shared" si="30"/>
        <v/>
      </c>
      <c r="AW23" s="195" t="str">
        <f t="shared" si="31"/>
        <v/>
      </c>
      <c r="AX23" s="195" t="str">
        <f t="shared" si="32"/>
        <v/>
      </c>
      <c r="AY23" s="728" t="str">
        <f t="shared" si="33"/>
        <v/>
      </c>
      <c r="AZ23" s="195" t="str">
        <f t="shared" si="34"/>
        <v/>
      </c>
      <c r="BA23" s="195" t="str">
        <f t="shared" si="35"/>
        <v/>
      </c>
      <c r="BB23" s="195" t="str">
        <f t="shared" si="36"/>
        <v/>
      </c>
      <c r="BC23" s="195" t="str">
        <f t="shared" si="37"/>
        <v/>
      </c>
      <c r="BD23" s="112" t="str">
        <f t="shared" si="38"/>
        <v/>
      </c>
      <c r="BE23" s="109" t="str">
        <f t="shared" si="39"/>
        <v/>
      </c>
      <c r="BF23" s="602"/>
      <c r="BG23" s="113" t="str">
        <f t="shared" si="40"/>
        <v/>
      </c>
      <c r="BH23" s="113" t="str">
        <f t="shared" si="41"/>
        <v/>
      </c>
      <c r="BI23" s="113" t="str">
        <f t="shared" si="42"/>
        <v/>
      </c>
      <c r="BJ23" s="281" t="str" cm="1">
        <f t="array" ref="BJ23">IF($AH23="","",
_xlfn.IFS(
$BE23="Devis 1",
IF(ISBLANK(AR23),"",IFERROR(VALUE(TRIM(SUBSTITUTE(AR23,CHAR(160),""))),0)*IFERROR(VALUE(TRIM(SUBSTITUTE($AH23,CHAR(160),""))),0)),
$BE23="Devis 2",
IF(ISBLANK(AW23),"",IFERROR(VALUE(TRIM(SUBSTITUTE(AW23,CHAR(160),""))),0)*IFERROR(VALUE(TRIM(SUBSTITUTE($AH23,CHAR(160),""))),0)),
$BE23="Devis 3",
IF(ISBLANK(BB23),"",IFERROR(VALUE(TRIM(SUBSTITUTE(BB23,CHAR(160),""))),0)*IFERROR(VALUE(TRIM(SUBSTITUTE($AH23,CHAR(160),""))),0)),
TRUE,0
)
)</f>
        <v/>
      </c>
      <c r="BK23" s="281" t="str" cm="1">
        <f t="array" ref="BK23">IF($AH23="","",
_xlfn.IFS(
$BE23="Devis 1",
IF(ISBLANK(AS23),"",IFERROR(VALUE(TRIM(SUBSTITUTE(AS23,CHAR(160),""))),0)*IFERROR(VALUE(TRIM(SUBSTITUTE($AH23,CHAR(160),""))),0)),
$BE23="Devis 2",
IF(ISBLANK(AX23),"",IFERROR(VALUE(TRIM(SUBSTITUTE(AX23,CHAR(160),""))),0)*IFERROR(VALUE(TRIM(SUBSTITUTE($AH23,CHAR(160),""))),0)),
$BE23="Devis 3",
IF(ISBLANK(BC23),"",IFERROR(VALUE(TRIM(SUBSTITUTE(BC23,CHAR(160),""))),0)*IFERROR(VALUE(TRIM(SUBSTITUTE($AH23,CHAR(160),""))),0)),
TRUE,0
)
)</f>
        <v/>
      </c>
      <c r="BL23" s="281" t="str">
        <f t="shared" si="43"/>
        <v/>
      </c>
      <c r="BM23" s="602"/>
      <c r="BN23" s="23" t="str" cm="1">
        <f t="array" ref="BN23">IF(OR(BL23="",BI23="",BJ23="",BG23="",BK23="",BH23=""),"",_xlfn.IFS(
ROUND(IFERROR(VALUE(TRIM(SUBSTITUTE(BL23,CHAR(160),""))),0),2)&gt;
ROUND(IFERROR(VALUE(TRIM(SUBSTITUTE(BI23,CHAR(160),""))),0),2),
"KO : Le montant retenu TTC est supérieur au montant raisonnable TTC. Merci de revoir la ligne de dépense ou plafonner son montant.",
ROUND(IFERROR(VALUE(TRIM(SUBSTITUTE(BJ23,CHAR(160),""))),0),2)&gt;
ROUND(IFERROR(VALUE(TRIM(SUBSTITUTE(BG23,CHAR(160),""))),0),2),
"Attention : Le montant retenu HT est supérieur au montant HT raisonnable. Merci de revoir la ligne de dépense, plafonner son montant, ou justifier la reventillation HT / TVA.",
ROUND(IFERROR(VALUE(TRIM(SUBSTITUTE(BK23,CHAR(160),""))),0),2)&gt;
ROUND(IFERROR(VALUE(TRIM(SUBSTITUTE(BH23,CHAR(160),""))),0),2),
"Attention : Le montant TVA retenu est supérieur au montant TVA raisonnable. Merci de revoir la ligne de dépense, plafonner son montant, ou justifier la reventillation HT / TVA.",
ROUND(IFERROR(VALUE(TRIM(SUBSTITUTE(BL23,CHAR(160),""))),0),2)&gt;
ROUND(IFERROR(VALUE(TRIM(SUBSTITUTE(MIN(P23,U23,Z23),CHAR(160),""))),0),2),
"Attention : Le devis retenu n'est pas le moins cher. Une justification de la part du porteur est nécessaire.",
ROUND(IFERROR(VALUE(TRIM(SUBSTITUTE(BL23,CHAR(160),""))),0),2)=0,
"Attention : montant présenté entièrement écarté",
ROUND(IFERROR(VALUE(TRIM(SUBSTITUTE(BI23,CHAR(160),""))),0),2)=
ROUND(IFERROR(VALUE(TRIM(SUBSTITUTE(BL23,CHAR(160),""))),0),2),
"OK",
ROUND(IFERROR(VALUE(TRIM(SUBSTITUTE(BI23,CHAR(160),""))),0),2)&gt;
ROUND(IFERROR(VALUE(TRIM(SUBSTITUTE(BL23,CHAR(160),""))),0),2),
" OK : Montant instruit inférieur au montant raisonnable.",
TRUE,""
))</f>
        <v/>
      </c>
      <c r="BO23" s="23" t="str" cm="1">
        <f t="array" ref="BO23">IF(OR(BL23="",AD23="",BJ23="",AB23="",BK23="",AC23=""),"",_xlfn.IFS(
ROUND(IFERROR(VALUE(TRIM(SUBSTITUTE(BL23,CHAR(160),""))),0),2)&gt;
ROUND(IFERROR(VALUE(TRIM(SUBSTITUTE(AD23,CHAR(160),""))),0),2),
"KO : Le montant retenu TTC est supérieur au montant présenté TTC. Merci de revoir la ligne de dépense ou plafonner son montant.",
ROUND(IFERROR(VALUE(TRIM(SUBSTITUTE(BJ23,CHAR(160),""))),0),2)&gt;
ROUND(IFERROR(VALUE(TRIM(SUBSTITUTE(AB23,CHAR(160),""))),0),2),
"Attention : Le montant retenu HT est supérieur au montant HT présenté. Merci de revoir la ligne de dépense, plafonner son montant, ou justifier la reventillation HT / TVA.",
ROUND(IFERROR(VALUE(TRIM(SUBSTITUTE(BK23,CHAR(160),""))),0),2)&gt;
ROUND(IFERROR(VALUE(TRIM(SUBSTITUTE(AC23,CHAR(160),""))),0),2),
"Attention : Le montant TVA retenu est supérieur au montant TVA présenté. Merci de revoir la ligne de dépense, plafonner son montant, ou justifier la reventillation HT / TVA.",
ROUND(IFERROR(VALUE(TRIM(SUBSTITUTE(AD23,CHAR(160),""))),0),2)=0,
"",
ROUND(IFERROR(VALUE(TRIM(SUBSTITUTE(BL23,CHAR(160),""))),0),2)=
ROUND(IFERROR(VALUE(TRIM(SUBSTITUTE(AD23,CHAR(160),""))),0),2),
"OK",
ROUND(IFERROR(VALUE(TRIM(SUBSTITUTE(BL23,CHAR(160),""))),0),2)=0,
"Attention : Montant présenté entièrement rejeté.",
ROUND(IFERROR(VALUE(TRIM(SUBSTITUTE(BL23,CHAR(160),""))),0),2)&lt;
ROUND(IFERROR(VALUE(TRIM(SUBSTITUTE(AD23,CHAR(160),""))),0),2),
"Attention : Montant présenté partiellement rejeté.",
TRUE,""
))</f>
        <v/>
      </c>
      <c r="BP23" s="113" t="str">
        <f t="shared" si="44"/>
        <v/>
      </c>
      <c r="BQ23" s="113" t="str">
        <f t="shared" si="45"/>
        <v/>
      </c>
      <c r="BR23" s="33" t="str">
        <f t="shared" si="46"/>
        <v/>
      </c>
      <c r="BS23" s="116"/>
    </row>
    <row r="24" spans="1:71" ht="15" customHeight="1">
      <c r="A24" s="193">
        <v>16</v>
      </c>
      <c r="B24" s="7"/>
      <c r="C24" s="7"/>
      <c r="D24" s="19"/>
      <c r="E24" s="7"/>
      <c r="F24" s="7"/>
      <c r="G24" s="7"/>
      <c r="H24" s="7"/>
      <c r="I24" s="28"/>
      <c r="J24" s="7"/>
      <c r="K24" s="29"/>
      <c r="L24" s="678"/>
      <c r="M24" s="7"/>
      <c r="N24" s="672"/>
      <c r="O24" s="11"/>
      <c r="P24" s="107" t="str">
        <f t="shared" si="48"/>
        <v/>
      </c>
      <c r="Q24" s="699"/>
      <c r="R24" s="702"/>
      <c r="S24" s="684"/>
      <c r="T24" s="11"/>
      <c r="U24" s="107" t="str">
        <f t="shared" si="49"/>
        <v/>
      </c>
      <c r="V24" s="695"/>
      <c r="W24" s="685"/>
      <c r="X24" s="707"/>
      <c r="Y24" s="684"/>
      <c r="Z24" s="108" t="str">
        <f t="shared" si="50"/>
        <v/>
      </c>
      <c r="AA24" s="25"/>
      <c r="AB24" s="287" t="str" cm="1">
        <f t="array" ref="AB24">IF((_xlfn.IFS(TRIM(SUBSTITUTE(AA24,CHAR(160),""))="Devis 1",IFERROR(VALUE(TRIM(SUBSTITUTE(N24,CHAR(160),""))),0),TRIM(SUBSTITUTE(AA24,CHAR(160),""))="Devis 2",IFERROR(VALUE(TRIM(SUBSTITUTE(S24,CHAR(160),""))),0),TRIM(SUBSTITUTE(AA24,CHAR(160),""))="Devis 3",IFERROR(VALUE(TRIM(SUBSTITUTE(X24,CHAR(160),""))),0),TRUE,0)*IFERROR(VALUE(TRIM(SUBSTITUTE(D24,CHAR(160),""))),0))=0,"",_xlfn.IFS(TRIM(SUBSTITUTE(AA24,CHAR(160),""))="Devis 1",IFERROR(VALUE(TRIM(SUBSTITUTE(N24,CHAR(160),""))),0),TRIM(SUBSTITUTE(AA24,CHAR(160),""))="Devis 2",IFERROR(VALUE(TRIM(SUBSTITUTE(S24,CHAR(160),""))),0),TRIM(SUBSTITUTE(AA24,CHAR(160),""))="Devis 3",IFERROR(VALUE(TRIM(SUBSTITUTE(X24,CHAR(160),""))),0),TRUE,0)*IFERROR(VALUE(TRIM(SUBSTITUTE(D24,CHAR(160),""))),0))</f>
        <v/>
      </c>
      <c r="AC24" s="275" t="str" cm="1">
        <f t="array" ref="AC24">IF(_xlfn.IFS(TRIM(SUBSTITUTE(AA24,CHAR(160),""))="Devis 1",IFERROR(VALUE(TRIM(SUBSTITUTE(O24,CHAR(160),""))),0),TRIM(SUBSTITUTE(AA24,CHAR(160),""))="Devis 2",IFERROR(VALUE(TRIM(SUBSTITUTE(T24,CHAR(160),""))),0),TRIM(SUBSTITUTE(AA24,CHAR(160),""))="Devis 3",IFERROR(VALUE(TRIM(SUBSTITUTE(Y24,CHAR(160),""))),0),TRUE,0)*IFERROR(VALUE(TRIM(SUBSTITUTE(D24,CHAR(160),""))),0)=0,IF(AB24&lt;&gt;"",0,""),_xlfn.IFS(TRIM(SUBSTITUTE(AA24,CHAR(160),""))="Devis 1",IFERROR(VALUE(TRIM(SUBSTITUTE(O24,CHAR(160),""))),0),TRIM(SUBSTITUTE(AA24,CHAR(160),""))="Devis 2",IFERROR(VALUE(TRIM(SUBSTITUTE(T24,CHAR(160),""))),0),TRIM(SUBSTITUTE(AA24,CHAR(160),""))="Devis 3",IFERROR(VALUE(TRIM(SUBSTITUTE(Y24,CHAR(160),""))),0),TRUE,0)*IFERROR(VALUE(TRIM(SUBSTITUTE(D24,CHAR(160),""))),0))</f>
        <v/>
      </c>
      <c r="AD24" s="285" t="str">
        <f t="shared" si="51"/>
        <v/>
      </c>
      <c r="AE24" s="26"/>
      <c r="AF24" s="109" t="str">
        <f t="shared" si="14"/>
        <v/>
      </c>
      <c r="AG24" s="109" t="str">
        <f t="shared" si="15"/>
        <v/>
      </c>
      <c r="AH24" s="885" t="str">
        <f t="shared" si="16"/>
        <v/>
      </c>
      <c r="AI24" s="109" t="str">
        <f t="shared" si="17"/>
        <v/>
      </c>
      <c r="AJ24" s="109" t="str">
        <f t="shared" si="18"/>
        <v/>
      </c>
      <c r="AK24" s="109" t="str">
        <f t="shared" si="19"/>
        <v/>
      </c>
      <c r="AL24" s="109" t="str">
        <f t="shared" si="20"/>
        <v/>
      </c>
      <c r="AM24" s="109" t="str">
        <f t="shared" si="21"/>
        <v/>
      </c>
      <c r="AN24" s="109" t="str">
        <f t="shared" si="22"/>
        <v/>
      </c>
      <c r="AO24" s="109" t="str">
        <f t="shared" si="23"/>
        <v/>
      </c>
      <c r="AP24" s="754" t="str">
        <f t="shared" si="24"/>
        <v/>
      </c>
      <c r="AQ24" s="755" t="str">
        <f t="shared" si="25"/>
        <v/>
      </c>
      <c r="AR24" s="195" t="str">
        <f t="shared" si="26"/>
        <v/>
      </c>
      <c r="AS24" s="195" t="str">
        <f t="shared" si="27"/>
        <v/>
      </c>
      <c r="AT24" s="664" t="str">
        <f t="shared" si="28"/>
        <v/>
      </c>
      <c r="AU24" s="756" t="str">
        <f t="shared" si="29"/>
        <v/>
      </c>
      <c r="AV24" s="195" t="str">
        <f t="shared" si="30"/>
        <v/>
      </c>
      <c r="AW24" s="195" t="str">
        <f t="shared" si="31"/>
        <v/>
      </c>
      <c r="AX24" s="195" t="str">
        <f t="shared" si="32"/>
        <v/>
      </c>
      <c r="AY24" s="728" t="str">
        <f t="shared" si="33"/>
        <v/>
      </c>
      <c r="AZ24" s="195" t="str">
        <f t="shared" si="34"/>
        <v/>
      </c>
      <c r="BA24" s="195" t="str">
        <f t="shared" si="35"/>
        <v/>
      </c>
      <c r="BB24" s="195" t="str">
        <f t="shared" si="36"/>
        <v/>
      </c>
      <c r="BC24" s="195" t="str">
        <f t="shared" si="37"/>
        <v/>
      </c>
      <c r="BD24" s="112" t="str">
        <f t="shared" si="38"/>
        <v/>
      </c>
      <c r="BE24" s="109" t="str">
        <f t="shared" si="39"/>
        <v/>
      </c>
      <c r="BF24" s="602"/>
      <c r="BG24" s="113" t="str">
        <f t="shared" si="40"/>
        <v/>
      </c>
      <c r="BH24" s="113" t="str">
        <f t="shared" si="41"/>
        <v/>
      </c>
      <c r="BI24" s="113" t="str">
        <f t="shared" si="42"/>
        <v/>
      </c>
      <c r="BJ24" s="281" t="str" cm="1">
        <f t="array" ref="BJ24">IF($AH24="","",
_xlfn.IFS(
$BE24="Devis 1",
IF(ISBLANK(AR24),"",IFERROR(VALUE(TRIM(SUBSTITUTE(AR24,CHAR(160),""))),0)*IFERROR(VALUE(TRIM(SUBSTITUTE($AH24,CHAR(160),""))),0)),
$BE24="Devis 2",
IF(ISBLANK(AW24),"",IFERROR(VALUE(TRIM(SUBSTITUTE(AW24,CHAR(160),""))),0)*IFERROR(VALUE(TRIM(SUBSTITUTE($AH24,CHAR(160),""))),0)),
$BE24="Devis 3",
IF(ISBLANK(BB24),"",IFERROR(VALUE(TRIM(SUBSTITUTE(BB24,CHAR(160),""))),0)*IFERROR(VALUE(TRIM(SUBSTITUTE($AH24,CHAR(160),""))),0)),
TRUE,0
)
)</f>
        <v/>
      </c>
      <c r="BK24" s="281" t="str" cm="1">
        <f t="array" ref="BK24">IF($AH24="","",
_xlfn.IFS(
$BE24="Devis 1",
IF(ISBLANK(AS24),"",IFERROR(VALUE(TRIM(SUBSTITUTE(AS24,CHAR(160),""))),0)*IFERROR(VALUE(TRIM(SUBSTITUTE($AH24,CHAR(160),""))),0)),
$BE24="Devis 2",
IF(ISBLANK(AX24),"",IFERROR(VALUE(TRIM(SUBSTITUTE(AX24,CHAR(160),""))),0)*IFERROR(VALUE(TRIM(SUBSTITUTE($AH24,CHAR(160),""))),0)),
$BE24="Devis 3",
IF(ISBLANK(BC24),"",IFERROR(VALUE(TRIM(SUBSTITUTE(BC24,CHAR(160),""))),0)*IFERROR(VALUE(TRIM(SUBSTITUTE($AH24,CHAR(160),""))),0)),
TRUE,0
)
)</f>
        <v/>
      </c>
      <c r="BL24" s="281" t="str">
        <f t="shared" si="43"/>
        <v/>
      </c>
      <c r="BM24" s="602"/>
      <c r="BN24" s="23" t="str" cm="1">
        <f t="array" ref="BN24">IF(OR(BL24="",BI24="",BJ24="",BG24="",BK24="",BH24=""),"",_xlfn.IFS(
ROUND(IFERROR(VALUE(TRIM(SUBSTITUTE(BL24,CHAR(160),""))),0),2)&gt;
ROUND(IFERROR(VALUE(TRIM(SUBSTITUTE(BI24,CHAR(160),""))),0),2),
"KO : Le montant retenu TTC est supérieur au montant raisonnable TTC. Merci de revoir la ligne de dépense ou plafonner son montant.",
ROUND(IFERROR(VALUE(TRIM(SUBSTITUTE(BJ24,CHAR(160),""))),0),2)&gt;
ROUND(IFERROR(VALUE(TRIM(SUBSTITUTE(BG24,CHAR(160),""))),0),2),
"Attention : Le montant retenu HT est supérieur au montant HT raisonnable. Merci de revoir la ligne de dépense, plafonner son montant, ou justifier la reventillation HT / TVA.",
ROUND(IFERROR(VALUE(TRIM(SUBSTITUTE(BK24,CHAR(160),""))),0),2)&gt;
ROUND(IFERROR(VALUE(TRIM(SUBSTITUTE(BH24,CHAR(160),""))),0),2),
"Attention : Le montant TVA retenu est supérieur au montant TVA raisonnable. Merci de revoir la ligne de dépense, plafonner son montant, ou justifier la reventillation HT / TVA.",
ROUND(IFERROR(VALUE(TRIM(SUBSTITUTE(BL24,CHAR(160),""))),0),2)&gt;
ROUND(IFERROR(VALUE(TRIM(SUBSTITUTE(MIN(P24,U24,Z24),CHAR(160),""))),0),2),
"Attention : Le devis retenu n'est pas le moins cher. Une justification de la part du porteur est nécessaire.",
ROUND(IFERROR(VALUE(TRIM(SUBSTITUTE(BL24,CHAR(160),""))),0),2)=0,
"Attention : montant présenté entièrement écarté",
ROUND(IFERROR(VALUE(TRIM(SUBSTITUTE(BI24,CHAR(160),""))),0),2)=
ROUND(IFERROR(VALUE(TRIM(SUBSTITUTE(BL24,CHAR(160),""))),0),2),
"OK",
ROUND(IFERROR(VALUE(TRIM(SUBSTITUTE(BI24,CHAR(160),""))),0),2)&gt;
ROUND(IFERROR(VALUE(TRIM(SUBSTITUTE(BL24,CHAR(160),""))),0),2),
" OK : Montant instruit inférieur au montant raisonnable.",
TRUE,""
))</f>
        <v/>
      </c>
      <c r="BO24" s="23" t="str" cm="1">
        <f t="array" ref="BO24">IF(OR(BL24="",AD24="",BJ24="",AB24="",BK24="",AC24=""),"",_xlfn.IFS(
ROUND(IFERROR(VALUE(TRIM(SUBSTITUTE(BL24,CHAR(160),""))),0),2)&gt;
ROUND(IFERROR(VALUE(TRIM(SUBSTITUTE(AD24,CHAR(160),""))),0),2),
"KO : Le montant retenu TTC est supérieur au montant présenté TTC. Merci de revoir la ligne de dépense ou plafonner son montant.",
ROUND(IFERROR(VALUE(TRIM(SUBSTITUTE(BJ24,CHAR(160),""))),0),2)&gt;
ROUND(IFERROR(VALUE(TRIM(SUBSTITUTE(AB24,CHAR(160),""))),0),2),
"Attention : Le montant retenu HT est supérieur au montant HT présenté. Merci de revoir la ligne de dépense, plafonner son montant, ou justifier la reventillation HT / TVA.",
ROUND(IFERROR(VALUE(TRIM(SUBSTITUTE(BK24,CHAR(160),""))),0),2)&gt;
ROUND(IFERROR(VALUE(TRIM(SUBSTITUTE(AC24,CHAR(160),""))),0),2),
"Attention : Le montant TVA retenu est supérieur au montant TVA présenté. Merci de revoir la ligne de dépense, plafonner son montant, ou justifier la reventillation HT / TVA.",
ROUND(IFERROR(VALUE(TRIM(SUBSTITUTE(AD24,CHAR(160),""))),0),2)=0,
"",
ROUND(IFERROR(VALUE(TRIM(SUBSTITUTE(BL24,CHAR(160),""))),0),2)=
ROUND(IFERROR(VALUE(TRIM(SUBSTITUTE(AD24,CHAR(160),""))),0),2),
"OK",
ROUND(IFERROR(VALUE(TRIM(SUBSTITUTE(BL24,CHAR(160),""))),0),2)=0,
"Attention : Montant présenté entièrement rejeté.",
ROUND(IFERROR(VALUE(TRIM(SUBSTITUTE(BL24,CHAR(160),""))),0),2)&lt;
ROUND(IFERROR(VALUE(TRIM(SUBSTITUTE(AD24,CHAR(160),""))),0),2),
"Attention : Montant présenté partiellement rejeté.",
TRUE,""
))</f>
        <v/>
      </c>
      <c r="BP24" s="113" t="str">
        <f t="shared" si="44"/>
        <v/>
      </c>
      <c r="BQ24" s="113" t="str">
        <f t="shared" si="45"/>
        <v/>
      </c>
      <c r="BR24" s="33" t="str">
        <f t="shared" si="46"/>
        <v/>
      </c>
      <c r="BS24" s="116"/>
    </row>
    <row r="25" spans="1:71" ht="15" customHeight="1">
      <c r="A25" s="193">
        <v>17</v>
      </c>
      <c r="B25" s="7"/>
      <c r="C25" s="7"/>
      <c r="D25" s="19"/>
      <c r="E25" s="7"/>
      <c r="F25" s="7"/>
      <c r="G25" s="7"/>
      <c r="H25" s="7"/>
      <c r="I25" s="28"/>
      <c r="J25" s="7"/>
      <c r="K25" s="29"/>
      <c r="L25" s="678"/>
      <c r="M25" s="7"/>
      <c r="N25" s="672"/>
      <c r="O25" s="11"/>
      <c r="P25" s="107" t="str">
        <f t="shared" si="48"/>
        <v/>
      </c>
      <c r="Q25" s="699"/>
      <c r="R25" s="702"/>
      <c r="S25" s="684"/>
      <c r="T25" s="11"/>
      <c r="U25" s="107" t="str">
        <f t="shared" si="49"/>
        <v/>
      </c>
      <c r="V25" s="695"/>
      <c r="W25" s="685"/>
      <c r="X25" s="707"/>
      <c r="Y25" s="684"/>
      <c r="Z25" s="108" t="str">
        <f t="shared" si="50"/>
        <v/>
      </c>
      <c r="AA25" s="25"/>
      <c r="AB25" s="287" t="str" cm="1">
        <f t="array" ref="AB25">IF((_xlfn.IFS(TRIM(SUBSTITUTE(AA25,CHAR(160),""))="Devis 1",IFERROR(VALUE(TRIM(SUBSTITUTE(N25,CHAR(160),""))),0),TRIM(SUBSTITUTE(AA25,CHAR(160),""))="Devis 2",IFERROR(VALUE(TRIM(SUBSTITUTE(S25,CHAR(160),""))),0),TRIM(SUBSTITUTE(AA25,CHAR(160),""))="Devis 3",IFERROR(VALUE(TRIM(SUBSTITUTE(X25,CHAR(160),""))),0),TRUE,0)*IFERROR(VALUE(TRIM(SUBSTITUTE(D25,CHAR(160),""))),0))=0,"",_xlfn.IFS(TRIM(SUBSTITUTE(AA25,CHAR(160),""))="Devis 1",IFERROR(VALUE(TRIM(SUBSTITUTE(N25,CHAR(160),""))),0),TRIM(SUBSTITUTE(AA25,CHAR(160),""))="Devis 2",IFERROR(VALUE(TRIM(SUBSTITUTE(S25,CHAR(160),""))),0),TRIM(SUBSTITUTE(AA25,CHAR(160),""))="Devis 3",IFERROR(VALUE(TRIM(SUBSTITUTE(X25,CHAR(160),""))),0),TRUE,0)*IFERROR(VALUE(TRIM(SUBSTITUTE(D25,CHAR(160),""))),0))</f>
        <v/>
      </c>
      <c r="AC25" s="275" t="str" cm="1">
        <f t="array" ref="AC25">IF(_xlfn.IFS(TRIM(SUBSTITUTE(AA25,CHAR(160),""))="Devis 1",IFERROR(VALUE(TRIM(SUBSTITUTE(O25,CHAR(160),""))),0),TRIM(SUBSTITUTE(AA25,CHAR(160),""))="Devis 2",IFERROR(VALUE(TRIM(SUBSTITUTE(T25,CHAR(160),""))),0),TRIM(SUBSTITUTE(AA25,CHAR(160),""))="Devis 3",IFERROR(VALUE(TRIM(SUBSTITUTE(Y25,CHAR(160),""))),0),TRUE,0)*IFERROR(VALUE(TRIM(SUBSTITUTE(D25,CHAR(160),""))),0)=0,IF(AB25&lt;&gt;"",0,""),_xlfn.IFS(TRIM(SUBSTITUTE(AA25,CHAR(160),""))="Devis 1",IFERROR(VALUE(TRIM(SUBSTITUTE(O25,CHAR(160),""))),0),TRIM(SUBSTITUTE(AA25,CHAR(160),""))="Devis 2",IFERROR(VALUE(TRIM(SUBSTITUTE(T25,CHAR(160),""))),0),TRIM(SUBSTITUTE(AA25,CHAR(160),""))="Devis 3",IFERROR(VALUE(TRIM(SUBSTITUTE(Y25,CHAR(160),""))),0),TRUE,0)*IFERROR(VALUE(TRIM(SUBSTITUTE(D25,CHAR(160),""))),0))</f>
        <v/>
      </c>
      <c r="AD25" s="285" t="str">
        <f t="shared" si="51"/>
        <v/>
      </c>
      <c r="AE25" s="26"/>
      <c r="AF25" s="109" t="str">
        <f t="shared" si="14"/>
        <v/>
      </c>
      <c r="AG25" s="109" t="str">
        <f t="shared" si="15"/>
        <v/>
      </c>
      <c r="AH25" s="885" t="str">
        <f t="shared" si="16"/>
        <v/>
      </c>
      <c r="AI25" s="109" t="str">
        <f t="shared" si="17"/>
        <v/>
      </c>
      <c r="AJ25" s="109" t="str">
        <f t="shared" si="18"/>
        <v/>
      </c>
      <c r="AK25" s="109" t="str">
        <f t="shared" si="19"/>
        <v/>
      </c>
      <c r="AL25" s="109" t="str">
        <f t="shared" si="20"/>
        <v/>
      </c>
      <c r="AM25" s="109" t="str">
        <f t="shared" si="21"/>
        <v/>
      </c>
      <c r="AN25" s="109" t="str">
        <f t="shared" si="22"/>
        <v/>
      </c>
      <c r="AO25" s="109" t="str">
        <f t="shared" si="23"/>
        <v/>
      </c>
      <c r="AP25" s="754" t="str">
        <f t="shared" si="24"/>
        <v/>
      </c>
      <c r="AQ25" s="755" t="str">
        <f t="shared" si="25"/>
        <v/>
      </c>
      <c r="AR25" s="195" t="str">
        <f t="shared" si="26"/>
        <v/>
      </c>
      <c r="AS25" s="195" t="str">
        <f t="shared" si="27"/>
        <v/>
      </c>
      <c r="AT25" s="664" t="str">
        <f t="shared" si="28"/>
        <v/>
      </c>
      <c r="AU25" s="756" t="str">
        <f t="shared" si="29"/>
        <v/>
      </c>
      <c r="AV25" s="195" t="str">
        <f t="shared" si="30"/>
        <v/>
      </c>
      <c r="AW25" s="195" t="str">
        <f t="shared" si="31"/>
        <v/>
      </c>
      <c r="AX25" s="195" t="str">
        <f t="shared" si="32"/>
        <v/>
      </c>
      <c r="AY25" s="728" t="str">
        <f t="shared" si="33"/>
        <v/>
      </c>
      <c r="AZ25" s="195" t="str">
        <f t="shared" si="34"/>
        <v/>
      </c>
      <c r="BA25" s="195" t="str">
        <f t="shared" si="35"/>
        <v/>
      </c>
      <c r="BB25" s="195" t="str">
        <f t="shared" si="36"/>
        <v/>
      </c>
      <c r="BC25" s="195" t="str">
        <f t="shared" si="37"/>
        <v/>
      </c>
      <c r="BD25" s="112" t="str">
        <f t="shared" si="38"/>
        <v/>
      </c>
      <c r="BE25" s="109" t="str">
        <f t="shared" si="39"/>
        <v/>
      </c>
      <c r="BF25" s="602"/>
      <c r="BG25" s="113" t="str">
        <f t="shared" si="40"/>
        <v/>
      </c>
      <c r="BH25" s="113" t="str">
        <f t="shared" si="41"/>
        <v/>
      </c>
      <c r="BI25" s="113" t="str">
        <f t="shared" si="42"/>
        <v/>
      </c>
      <c r="BJ25" s="281" t="str" cm="1">
        <f t="array" ref="BJ25">IF($AH25="","",
_xlfn.IFS(
$BE25="Devis 1",
IF(ISBLANK(AR25),"",IFERROR(VALUE(TRIM(SUBSTITUTE(AR25,CHAR(160),""))),0)*IFERROR(VALUE(TRIM(SUBSTITUTE($AH25,CHAR(160),""))),0)),
$BE25="Devis 2",
IF(ISBLANK(AW25),"",IFERROR(VALUE(TRIM(SUBSTITUTE(AW25,CHAR(160),""))),0)*IFERROR(VALUE(TRIM(SUBSTITUTE($AH25,CHAR(160),""))),0)),
$BE25="Devis 3",
IF(ISBLANK(BB25),"",IFERROR(VALUE(TRIM(SUBSTITUTE(BB25,CHAR(160),""))),0)*IFERROR(VALUE(TRIM(SUBSTITUTE($AH25,CHAR(160),""))),0)),
TRUE,0
)
)</f>
        <v/>
      </c>
      <c r="BK25" s="281" t="str" cm="1">
        <f t="array" ref="BK25">IF($AH25="","",
_xlfn.IFS(
$BE25="Devis 1",
IF(ISBLANK(AS25),"",IFERROR(VALUE(TRIM(SUBSTITUTE(AS25,CHAR(160),""))),0)*IFERROR(VALUE(TRIM(SUBSTITUTE($AH25,CHAR(160),""))),0)),
$BE25="Devis 2",
IF(ISBLANK(AX25),"",IFERROR(VALUE(TRIM(SUBSTITUTE(AX25,CHAR(160),""))),0)*IFERROR(VALUE(TRIM(SUBSTITUTE($AH25,CHAR(160),""))),0)),
$BE25="Devis 3",
IF(ISBLANK(BC25),"",IFERROR(VALUE(TRIM(SUBSTITUTE(BC25,CHAR(160),""))),0)*IFERROR(VALUE(TRIM(SUBSTITUTE($AH25,CHAR(160),""))),0)),
TRUE,0
)
)</f>
        <v/>
      </c>
      <c r="BL25" s="281" t="str">
        <f t="shared" si="43"/>
        <v/>
      </c>
      <c r="BM25" s="602"/>
      <c r="BN25" s="23" t="str" cm="1">
        <f t="array" ref="BN25">IF(OR(BL25="",BI25="",BJ25="",BG25="",BK25="",BH25=""),"",_xlfn.IFS(
ROUND(IFERROR(VALUE(TRIM(SUBSTITUTE(BL25,CHAR(160),""))),0),2)&gt;
ROUND(IFERROR(VALUE(TRIM(SUBSTITUTE(BI25,CHAR(160),""))),0),2),
"KO : Le montant retenu TTC est supérieur au montant raisonnable TTC. Merci de revoir la ligne de dépense ou plafonner son montant.",
ROUND(IFERROR(VALUE(TRIM(SUBSTITUTE(BJ25,CHAR(160),""))),0),2)&gt;
ROUND(IFERROR(VALUE(TRIM(SUBSTITUTE(BG25,CHAR(160),""))),0),2),
"Attention : Le montant retenu HT est supérieur au montant HT raisonnable. Merci de revoir la ligne de dépense, plafonner son montant, ou justifier la reventillation HT / TVA.",
ROUND(IFERROR(VALUE(TRIM(SUBSTITUTE(BK25,CHAR(160),""))),0),2)&gt;
ROUND(IFERROR(VALUE(TRIM(SUBSTITUTE(BH25,CHAR(160),""))),0),2),
"Attention : Le montant TVA retenu est supérieur au montant TVA raisonnable. Merci de revoir la ligne de dépense, plafonner son montant, ou justifier la reventillation HT / TVA.",
ROUND(IFERROR(VALUE(TRIM(SUBSTITUTE(BL25,CHAR(160),""))),0),2)&gt;
ROUND(IFERROR(VALUE(TRIM(SUBSTITUTE(MIN(P25,U25,Z25),CHAR(160),""))),0),2),
"Attention : Le devis retenu n'est pas le moins cher. Une justification de la part du porteur est nécessaire.",
ROUND(IFERROR(VALUE(TRIM(SUBSTITUTE(BL25,CHAR(160),""))),0),2)=0,
"Attention : montant présenté entièrement écarté",
ROUND(IFERROR(VALUE(TRIM(SUBSTITUTE(BI25,CHAR(160),""))),0),2)=
ROUND(IFERROR(VALUE(TRIM(SUBSTITUTE(BL25,CHAR(160),""))),0),2),
"OK",
ROUND(IFERROR(VALUE(TRIM(SUBSTITUTE(BI25,CHAR(160),""))),0),2)&gt;
ROUND(IFERROR(VALUE(TRIM(SUBSTITUTE(BL25,CHAR(160),""))),0),2),
" OK : Montant instruit inférieur au montant raisonnable.",
TRUE,""
))</f>
        <v/>
      </c>
      <c r="BO25" s="23" t="str" cm="1">
        <f t="array" ref="BO25">IF(OR(BL25="",AD25="",BJ25="",AB25="",BK25="",AC25=""),"",_xlfn.IFS(
ROUND(IFERROR(VALUE(TRIM(SUBSTITUTE(BL25,CHAR(160),""))),0),2)&gt;
ROUND(IFERROR(VALUE(TRIM(SUBSTITUTE(AD25,CHAR(160),""))),0),2),
"KO : Le montant retenu TTC est supérieur au montant présenté TTC. Merci de revoir la ligne de dépense ou plafonner son montant.",
ROUND(IFERROR(VALUE(TRIM(SUBSTITUTE(BJ25,CHAR(160),""))),0),2)&gt;
ROUND(IFERROR(VALUE(TRIM(SUBSTITUTE(AB25,CHAR(160),""))),0),2),
"Attention : Le montant retenu HT est supérieur au montant HT présenté. Merci de revoir la ligne de dépense, plafonner son montant, ou justifier la reventillation HT / TVA.",
ROUND(IFERROR(VALUE(TRIM(SUBSTITUTE(BK25,CHAR(160),""))),0),2)&gt;
ROUND(IFERROR(VALUE(TRIM(SUBSTITUTE(AC25,CHAR(160),""))),0),2),
"Attention : Le montant TVA retenu est supérieur au montant TVA présenté. Merci de revoir la ligne de dépense, plafonner son montant, ou justifier la reventillation HT / TVA.",
ROUND(IFERROR(VALUE(TRIM(SUBSTITUTE(AD25,CHAR(160),""))),0),2)=0,
"",
ROUND(IFERROR(VALUE(TRIM(SUBSTITUTE(BL25,CHAR(160),""))),0),2)=
ROUND(IFERROR(VALUE(TRIM(SUBSTITUTE(AD25,CHAR(160),""))),0),2),
"OK",
ROUND(IFERROR(VALUE(TRIM(SUBSTITUTE(BL25,CHAR(160),""))),0),2)=0,
"Attention : Montant présenté entièrement rejeté.",
ROUND(IFERROR(VALUE(TRIM(SUBSTITUTE(BL25,CHAR(160),""))),0),2)&lt;
ROUND(IFERROR(VALUE(TRIM(SUBSTITUTE(AD25,CHAR(160),""))),0),2),
"Attention : Montant présenté partiellement rejeté.",
TRUE,""
))</f>
        <v/>
      </c>
      <c r="BP25" s="113" t="str">
        <f t="shared" si="44"/>
        <v/>
      </c>
      <c r="BQ25" s="113" t="str">
        <f t="shared" si="45"/>
        <v/>
      </c>
      <c r="BR25" s="33" t="str">
        <f t="shared" si="46"/>
        <v/>
      </c>
    </row>
    <row r="26" spans="1:71" ht="15" customHeight="1">
      <c r="A26" s="193">
        <v>18</v>
      </c>
      <c r="B26" s="7"/>
      <c r="C26" s="7"/>
      <c r="D26" s="19"/>
      <c r="E26" s="7"/>
      <c r="F26" s="7"/>
      <c r="G26" s="7"/>
      <c r="H26" s="7"/>
      <c r="I26" s="28"/>
      <c r="J26" s="7"/>
      <c r="K26" s="29"/>
      <c r="L26" s="678"/>
      <c r="M26" s="7"/>
      <c r="N26" s="672"/>
      <c r="O26" s="11"/>
      <c r="P26" s="107" t="str">
        <f t="shared" si="48"/>
        <v/>
      </c>
      <c r="Q26" s="699"/>
      <c r="R26" s="702"/>
      <c r="S26" s="684"/>
      <c r="T26" s="11"/>
      <c r="U26" s="107" t="str">
        <f t="shared" si="49"/>
        <v/>
      </c>
      <c r="V26" s="695"/>
      <c r="W26" s="685"/>
      <c r="X26" s="707"/>
      <c r="Y26" s="684"/>
      <c r="Z26" s="108" t="str">
        <f t="shared" si="50"/>
        <v/>
      </c>
      <c r="AA26" s="25"/>
      <c r="AB26" s="287" t="str" cm="1">
        <f t="array" ref="AB26">IF((_xlfn.IFS(TRIM(SUBSTITUTE(AA26,CHAR(160),""))="Devis 1",IFERROR(VALUE(TRIM(SUBSTITUTE(N26,CHAR(160),""))),0),TRIM(SUBSTITUTE(AA26,CHAR(160),""))="Devis 2",IFERROR(VALUE(TRIM(SUBSTITUTE(S26,CHAR(160),""))),0),TRIM(SUBSTITUTE(AA26,CHAR(160),""))="Devis 3",IFERROR(VALUE(TRIM(SUBSTITUTE(X26,CHAR(160),""))),0),TRUE,0)*IFERROR(VALUE(TRIM(SUBSTITUTE(D26,CHAR(160),""))),0))=0,"",_xlfn.IFS(TRIM(SUBSTITUTE(AA26,CHAR(160),""))="Devis 1",IFERROR(VALUE(TRIM(SUBSTITUTE(N26,CHAR(160),""))),0),TRIM(SUBSTITUTE(AA26,CHAR(160),""))="Devis 2",IFERROR(VALUE(TRIM(SUBSTITUTE(S26,CHAR(160),""))),0),TRIM(SUBSTITUTE(AA26,CHAR(160),""))="Devis 3",IFERROR(VALUE(TRIM(SUBSTITUTE(X26,CHAR(160),""))),0),TRUE,0)*IFERROR(VALUE(TRIM(SUBSTITUTE(D26,CHAR(160),""))),0))</f>
        <v/>
      </c>
      <c r="AC26" s="275" t="str" cm="1">
        <f t="array" ref="AC26">IF(_xlfn.IFS(TRIM(SUBSTITUTE(AA26,CHAR(160),""))="Devis 1",IFERROR(VALUE(TRIM(SUBSTITUTE(O26,CHAR(160),""))),0),TRIM(SUBSTITUTE(AA26,CHAR(160),""))="Devis 2",IFERROR(VALUE(TRIM(SUBSTITUTE(T26,CHAR(160),""))),0),TRIM(SUBSTITUTE(AA26,CHAR(160),""))="Devis 3",IFERROR(VALUE(TRIM(SUBSTITUTE(Y26,CHAR(160),""))),0),TRUE,0)*IFERROR(VALUE(TRIM(SUBSTITUTE(D26,CHAR(160),""))),0)=0,IF(AB26&lt;&gt;"",0,""),_xlfn.IFS(TRIM(SUBSTITUTE(AA26,CHAR(160),""))="Devis 1",IFERROR(VALUE(TRIM(SUBSTITUTE(O26,CHAR(160),""))),0),TRIM(SUBSTITUTE(AA26,CHAR(160),""))="Devis 2",IFERROR(VALUE(TRIM(SUBSTITUTE(T26,CHAR(160),""))),0),TRIM(SUBSTITUTE(AA26,CHAR(160),""))="Devis 3",IFERROR(VALUE(TRIM(SUBSTITUTE(Y26,CHAR(160),""))),0),TRUE,0)*IFERROR(VALUE(TRIM(SUBSTITUTE(D26,CHAR(160),""))),0))</f>
        <v/>
      </c>
      <c r="AD26" s="285" t="str">
        <f t="shared" si="51"/>
        <v/>
      </c>
      <c r="AE26" s="26"/>
      <c r="AF26" s="109" t="str">
        <f t="shared" si="14"/>
        <v/>
      </c>
      <c r="AG26" s="109" t="str">
        <f t="shared" si="15"/>
        <v/>
      </c>
      <c r="AH26" s="885" t="str">
        <f t="shared" si="16"/>
        <v/>
      </c>
      <c r="AI26" s="109" t="str">
        <f t="shared" si="17"/>
        <v/>
      </c>
      <c r="AJ26" s="109" t="str">
        <f t="shared" si="18"/>
        <v/>
      </c>
      <c r="AK26" s="109" t="str">
        <f t="shared" si="19"/>
        <v/>
      </c>
      <c r="AL26" s="109" t="str">
        <f t="shared" si="20"/>
        <v/>
      </c>
      <c r="AM26" s="109" t="str">
        <f t="shared" si="21"/>
        <v/>
      </c>
      <c r="AN26" s="109" t="str">
        <f t="shared" si="22"/>
        <v/>
      </c>
      <c r="AO26" s="109" t="str">
        <f t="shared" si="23"/>
        <v/>
      </c>
      <c r="AP26" s="754" t="str">
        <f t="shared" si="24"/>
        <v/>
      </c>
      <c r="AQ26" s="755" t="str">
        <f t="shared" si="25"/>
        <v/>
      </c>
      <c r="AR26" s="195" t="str">
        <f t="shared" si="26"/>
        <v/>
      </c>
      <c r="AS26" s="195" t="str">
        <f t="shared" si="27"/>
        <v/>
      </c>
      <c r="AT26" s="664" t="str">
        <f t="shared" si="28"/>
        <v/>
      </c>
      <c r="AU26" s="756" t="str">
        <f t="shared" si="29"/>
        <v/>
      </c>
      <c r="AV26" s="195" t="str">
        <f t="shared" si="30"/>
        <v/>
      </c>
      <c r="AW26" s="195" t="str">
        <f t="shared" si="31"/>
        <v/>
      </c>
      <c r="AX26" s="195" t="str">
        <f t="shared" si="32"/>
        <v/>
      </c>
      <c r="AY26" s="728" t="str">
        <f t="shared" si="33"/>
        <v/>
      </c>
      <c r="AZ26" s="195" t="str">
        <f t="shared" si="34"/>
        <v/>
      </c>
      <c r="BA26" s="195" t="str">
        <f t="shared" si="35"/>
        <v/>
      </c>
      <c r="BB26" s="195" t="str">
        <f t="shared" si="36"/>
        <v/>
      </c>
      <c r="BC26" s="195" t="str">
        <f t="shared" si="37"/>
        <v/>
      </c>
      <c r="BD26" s="112" t="str">
        <f t="shared" si="38"/>
        <v/>
      </c>
      <c r="BE26" s="109" t="str">
        <f t="shared" si="39"/>
        <v/>
      </c>
      <c r="BF26" s="602"/>
      <c r="BG26" s="113" t="str">
        <f t="shared" si="40"/>
        <v/>
      </c>
      <c r="BH26" s="113" t="str">
        <f t="shared" si="41"/>
        <v/>
      </c>
      <c r="BI26" s="113" t="str">
        <f t="shared" si="42"/>
        <v/>
      </c>
      <c r="BJ26" s="281" t="str" cm="1">
        <f t="array" ref="BJ26">IF($AH26="","",
_xlfn.IFS(
$BE26="Devis 1",
IF(ISBLANK(AR26),"",IFERROR(VALUE(TRIM(SUBSTITUTE(AR26,CHAR(160),""))),0)*IFERROR(VALUE(TRIM(SUBSTITUTE($AH26,CHAR(160),""))),0)),
$BE26="Devis 2",
IF(ISBLANK(AW26),"",IFERROR(VALUE(TRIM(SUBSTITUTE(AW26,CHAR(160),""))),0)*IFERROR(VALUE(TRIM(SUBSTITUTE($AH26,CHAR(160),""))),0)),
$BE26="Devis 3",
IF(ISBLANK(BB26),"",IFERROR(VALUE(TRIM(SUBSTITUTE(BB26,CHAR(160),""))),0)*IFERROR(VALUE(TRIM(SUBSTITUTE($AH26,CHAR(160),""))),0)),
TRUE,0
)
)</f>
        <v/>
      </c>
      <c r="BK26" s="281" t="str" cm="1">
        <f t="array" ref="BK26">IF($AH26="","",
_xlfn.IFS(
$BE26="Devis 1",
IF(ISBLANK(AS26),"",IFERROR(VALUE(TRIM(SUBSTITUTE(AS26,CHAR(160),""))),0)*IFERROR(VALUE(TRIM(SUBSTITUTE($AH26,CHAR(160),""))),0)),
$BE26="Devis 2",
IF(ISBLANK(AX26),"",IFERROR(VALUE(TRIM(SUBSTITUTE(AX26,CHAR(160),""))),0)*IFERROR(VALUE(TRIM(SUBSTITUTE($AH26,CHAR(160),""))),0)),
$BE26="Devis 3",
IF(ISBLANK(BC26),"",IFERROR(VALUE(TRIM(SUBSTITUTE(BC26,CHAR(160),""))),0)*IFERROR(VALUE(TRIM(SUBSTITUTE($AH26,CHAR(160),""))),0)),
TRUE,0
)
)</f>
        <v/>
      </c>
      <c r="BL26" s="281" t="str">
        <f t="shared" si="43"/>
        <v/>
      </c>
      <c r="BM26" s="602"/>
      <c r="BN26" s="23" t="str" cm="1">
        <f t="array" ref="BN26">IF(OR(BL26="",BI26="",BJ26="",BG26="",BK26="",BH26=""),"",_xlfn.IFS(
ROUND(IFERROR(VALUE(TRIM(SUBSTITUTE(BL26,CHAR(160),""))),0),2)&gt;
ROUND(IFERROR(VALUE(TRIM(SUBSTITUTE(BI26,CHAR(160),""))),0),2),
"KO : Le montant retenu TTC est supérieur au montant raisonnable TTC. Merci de revoir la ligne de dépense ou plafonner son montant.",
ROUND(IFERROR(VALUE(TRIM(SUBSTITUTE(BJ26,CHAR(160),""))),0),2)&gt;
ROUND(IFERROR(VALUE(TRIM(SUBSTITUTE(BG26,CHAR(160),""))),0),2),
"Attention : Le montant retenu HT est supérieur au montant HT raisonnable. Merci de revoir la ligne de dépense, plafonner son montant, ou justifier la reventillation HT / TVA.",
ROUND(IFERROR(VALUE(TRIM(SUBSTITUTE(BK26,CHAR(160),""))),0),2)&gt;
ROUND(IFERROR(VALUE(TRIM(SUBSTITUTE(BH26,CHAR(160),""))),0),2),
"Attention : Le montant TVA retenu est supérieur au montant TVA raisonnable. Merci de revoir la ligne de dépense, plafonner son montant, ou justifier la reventillation HT / TVA.",
ROUND(IFERROR(VALUE(TRIM(SUBSTITUTE(BL26,CHAR(160),""))),0),2)&gt;
ROUND(IFERROR(VALUE(TRIM(SUBSTITUTE(MIN(P26,U26,Z26),CHAR(160),""))),0),2),
"Attention : Le devis retenu n'est pas le moins cher. Une justification de la part du porteur est nécessaire.",
ROUND(IFERROR(VALUE(TRIM(SUBSTITUTE(BL26,CHAR(160),""))),0),2)=0,
"Attention : montant présenté entièrement écarté",
ROUND(IFERROR(VALUE(TRIM(SUBSTITUTE(BI26,CHAR(160),""))),0),2)=
ROUND(IFERROR(VALUE(TRIM(SUBSTITUTE(BL26,CHAR(160),""))),0),2),
"OK",
ROUND(IFERROR(VALUE(TRIM(SUBSTITUTE(BI26,CHAR(160),""))),0),2)&gt;
ROUND(IFERROR(VALUE(TRIM(SUBSTITUTE(BL26,CHAR(160),""))),0),2),
" OK : Montant instruit inférieur au montant raisonnable.",
TRUE,""
))</f>
        <v/>
      </c>
      <c r="BO26" s="23" t="str" cm="1">
        <f t="array" ref="BO26">IF(OR(BL26="",AD26="",BJ26="",AB26="",BK26="",AC26=""),"",_xlfn.IFS(
ROUND(IFERROR(VALUE(TRIM(SUBSTITUTE(BL26,CHAR(160),""))),0),2)&gt;
ROUND(IFERROR(VALUE(TRIM(SUBSTITUTE(AD26,CHAR(160),""))),0),2),
"KO : Le montant retenu TTC est supérieur au montant présenté TTC. Merci de revoir la ligne de dépense ou plafonner son montant.",
ROUND(IFERROR(VALUE(TRIM(SUBSTITUTE(BJ26,CHAR(160),""))),0),2)&gt;
ROUND(IFERROR(VALUE(TRIM(SUBSTITUTE(AB26,CHAR(160),""))),0),2),
"Attention : Le montant retenu HT est supérieur au montant HT présenté. Merci de revoir la ligne de dépense, plafonner son montant, ou justifier la reventillation HT / TVA.",
ROUND(IFERROR(VALUE(TRIM(SUBSTITUTE(BK26,CHAR(160),""))),0),2)&gt;
ROUND(IFERROR(VALUE(TRIM(SUBSTITUTE(AC26,CHAR(160),""))),0),2),
"Attention : Le montant TVA retenu est supérieur au montant TVA présenté. Merci de revoir la ligne de dépense, plafonner son montant, ou justifier la reventillation HT / TVA.",
ROUND(IFERROR(VALUE(TRIM(SUBSTITUTE(AD26,CHAR(160),""))),0),2)=0,
"",
ROUND(IFERROR(VALUE(TRIM(SUBSTITUTE(BL26,CHAR(160),""))),0),2)=
ROUND(IFERROR(VALUE(TRIM(SUBSTITUTE(AD26,CHAR(160),""))),0),2),
"OK",
ROUND(IFERROR(VALUE(TRIM(SUBSTITUTE(BL26,CHAR(160),""))),0),2)=0,
"Attention : Montant présenté entièrement rejeté.",
ROUND(IFERROR(VALUE(TRIM(SUBSTITUTE(BL26,CHAR(160),""))),0),2)&lt;
ROUND(IFERROR(VALUE(TRIM(SUBSTITUTE(AD26,CHAR(160),""))),0),2),
"Attention : Montant présenté partiellement rejeté.",
TRUE,""
))</f>
        <v/>
      </c>
      <c r="BP26" s="113" t="str">
        <f t="shared" si="44"/>
        <v/>
      </c>
      <c r="BQ26" s="113" t="str">
        <f t="shared" si="45"/>
        <v/>
      </c>
      <c r="BR26" s="33" t="str">
        <f t="shared" si="46"/>
        <v/>
      </c>
    </row>
    <row r="27" spans="1:71" ht="15" customHeight="1">
      <c r="A27" s="193">
        <v>19</v>
      </c>
      <c r="B27" s="7"/>
      <c r="C27" s="7"/>
      <c r="D27" s="19"/>
      <c r="E27" s="7"/>
      <c r="F27" s="7"/>
      <c r="G27" s="7"/>
      <c r="H27" s="7"/>
      <c r="I27" s="28"/>
      <c r="J27" s="7"/>
      <c r="K27" s="29"/>
      <c r="L27" s="678"/>
      <c r="M27" s="7"/>
      <c r="N27" s="672"/>
      <c r="O27" s="11"/>
      <c r="P27" s="107" t="str">
        <f t="shared" si="48"/>
        <v/>
      </c>
      <c r="Q27" s="699"/>
      <c r="R27" s="702"/>
      <c r="S27" s="684"/>
      <c r="T27" s="11"/>
      <c r="U27" s="107" t="str">
        <f t="shared" si="49"/>
        <v/>
      </c>
      <c r="V27" s="695"/>
      <c r="W27" s="685"/>
      <c r="X27" s="707"/>
      <c r="Y27" s="684"/>
      <c r="Z27" s="108" t="str">
        <f t="shared" si="50"/>
        <v/>
      </c>
      <c r="AA27" s="25"/>
      <c r="AB27" s="287" t="str" cm="1">
        <f t="array" ref="AB27">IF((_xlfn.IFS(TRIM(SUBSTITUTE(AA27,CHAR(160),""))="Devis 1",IFERROR(VALUE(TRIM(SUBSTITUTE(N27,CHAR(160),""))),0),TRIM(SUBSTITUTE(AA27,CHAR(160),""))="Devis 2",IFERROR(VALUE(TRIM(SUBSTITUTE(S27,CHAR(160),""))),0),TRIM(SUBSTITUTE(AA27,CHAR(160),""))="Devis 3",IFERROR(VALUE(TRIM(SUBSTITUTE(X27,CHAR(160),""))),0),TRUE,0)*IFERROR(VALUE(TRIM(SUBSTITUTE(D27,CHAR(160),""))),0))=0,"",_xlfn.IFS(TRIM(SUBSTITUTE(AA27,CHAR(160),""))="Devis 1",IFERROR(VALUE(TRIM(SUBSTITUTE(N27,CHAR(160),""))),0),TRIM(SUBSTITUTE(AA27,CHAR(160),""))="Devis 2",IFERROR(VALUE(TRIM(SUBSTITUTE(S27,CHAR(160),""))),0),TRIM(SUBSTITUTE(AA27,CHAR(160),""))="Devis 3",IFERROR(VALUE(TRIM(SUBSTITUTE(X27,CHAR(160),""))),0),TRUE,0)*IFERROR(VALUE(TRIM(SUBSTITUTE(D27,CHAR(160),""))),0))</f>
        <v/>
      </c>
      <c r="AC27" s="275" t="str" cm="1">
        <f t="array" ref="AC27">IF(_xlfn.IFS(TRIM(SUBSTITUTE(AA27,CHAR(160),""))="Devis 1",IFERROR(VALUE(TRIM(SUBSTITUTE(O27,CHAR(160),""))),0),TRIM(SUBSTITUTE(AA27,CHAR(160),""))="Devis 2",IFERROR(VALUE(TRIM(SUBSTITUTE(T27,CHAR(160),""))),0),TRIM(SUBSTITUTE(AA27,CHAR(160),""))="Devis 3",IFERROR(VALUE(TRIM(SUBSTITUTE(Y27,CHAR(160),""))),0),TRUE,0)*IFERROR(VALUE(TRIM(SUBSTITUTE(D27,CHAR(160),""))),0)=0,IF(AB27&lt;&gt;"",0,""),_xlfn.IFS(TRIM(SUBSTITUTE(AA27,CHAR(160),""))="Devis 1",IFERROR(VALUE(TRIM(SUBSTITUTE(O27,CHAR(160),""))),0),TRIM(SUBSTITUTE(AA27,CHAR(160),""))="Devis 2",IFERROR(VALUE(TRIM(SUBSTITUTE(T27,CHAR(160),""))),0),TRIM(SUBSTITUTE(AA27,CHAR(160),""))="Devis 3",IFERROR(VALUE(TRIM(SUBSTITUTE(Y27,CHAR(160),""))),0),TRUE,0)*IFERROR(VALUE(TRIM(SUBSTITUTE(D27,CHAR(160),""))),0))</f>
        <v/>
      </c>
      <c r="AD27" s="285" t="str">
        <f t="shared" si="51"/>
        <v/>
      </c>
      <c r="AE27" s="26"/>
      <c r="AF27" s="109" t="str">
        <f t="shared" si="14"/>
        <v/>
      </c>
      <c r="AG27" s="109" t="str">
        <f t="shared" si="15"/>
        <v/>
      </c>
      <c r="AH27" s="885" t="str">
        <f t="shared" si="16"/>
        <v/>
      </c>
      <c r="AI27" s="109" t="str">
        <f t="shared" si="17"/>
        <v/>
      </c>
      <c r="AJ27" s="109" t="str">
        <f t="shared" si="18"/>
        <v/>
      </c>
      <c r="AK27" s="109" t="str">
        <f t="shared" si="19"/>
        <v/>
      </c>
      <c r="AL27" s="109" t="str">
        <f t="shared" si="20"/>
        <v/>
      </c>
      <c r="AM27" s="109" t="str">
        <f t="shared" si="21"/>
        <v/>
      </c>
      <c r="AN27" s="109" t="str">
        <f t="shared" si="22"/>
        <v/>
      </c>
      <c r="AO27" s="109" t="str">
        <f t="shared" si="23"/>
        <v/>
      </c>
      <c r="AP27" s="754" t="str">
        <f t="shared" si="24"/>
        <v/>
      </c>
      <c r="AQ27" s="755" t="str">
        <f t="shared" si="25"/>
        <v/>
      </c>
      <c r="AR27" s="195" t="str">
        <f t="shared" si="26"/>
        <v/>
      </c>
      <c r="AS27" s="195" t="str">
        <f t="shared" si="27"/>
        <v/>
      </c>
      <c r="AT27" s="664" t="str">
        <f t="shared" si="28"/>
        <v/>
      </c>
      <c r="AU27" s="756" t="str">
        <f t="shared" si="29"/>
        <v/>
      </c>
      <c r="AV27" s="195" t="str">
        <f t="shared" si="30"/>
        <v/>
      </c>
      <c r="AW27" s="195" t="str">
        <f t="shared" si="31"/>
        <v/>
      </c>
      <c r="AX27" s="195" t="str">
        <f t="shared" si="32"/>
        <v/>
      </c>
      <c r="AY27" s="728" t="str">
        <f t="shared" si="33"/>
        <v/>
      </c>
      <c r="AZ27" s="195" t="str">
        <f t="shared" si="34"/>
        <v/>
      </c>
      <c r="BA27" s="195" t="str">
        <f t="shared" si="35"/>
        <v/>
      </c>
      <c r="BB27" s="195" t="str">
        <f t="shared" si="36"/>
        <v/>
      </c>
      <c r="BC27" s="195" t="str">
        <f t="shared" si="37"/>
        <v/>
      </c>
      <c r="BD27" s="112" t="str">
        <f t="shared" si="38"/>
        <v/>
      </c>
      <c r="BE27" s="109" t="str">
        <f t="shared" si="39"/>
        <v/>
      </c>
      <c r="BF27" s="602"/>
      <c r="BG27" s="113" t="str">
        <f t="shared" si="40"/>
        <v/>
      </c>
      <c r="BH27" s="113" t="str">
        <f t="shared" si="41"/>
        <v/>
      </c>
      <c r="BI27" s="113" t="str">
        <f t="shared" si="42"/>
        <v/>
      </c>
      <c r="BJ27" s="281" t="str" cm="1">
        <f t="array" ref="BJ27">IF($AH27="","",
_xlfn.IFS(
$BE27="Devis 1",
IF(ISBLANK(AR27),"",IFERROR(VALUE(TRIM(SUBSTITUTE(AR27,CHAR(160),""))),0)*IFERROR(VALUE(TRIM(SUBSTITUTE($AH27,CHAR(160),""))),0)),
$BE27="Devis 2",
IF(ISBLANK(AW27),"",IFERROR(VALUE(TRIM(SUBSTITUTE(AW27,CHAR(160),""))),0)*IFERROR(VALUE(TRIM(SUBSTITUTE($AH27,CHAR(160),""))),0)),
$BE27="Devis 3",
IF(ISBLANK(BB27),"",IFERROR(VALUE(TRIM(SUBSTITUTE(BB27,CHAR(160),""))),0)*IFERROR(VALUE(TRIM(SUBSTITUTE($AH27,CHAR(160),""))),0)),
TRUE,0
)
)</f>
        <v/>
      </c>
      <c r="BK27" s="281" t="str" cm="1">
        <f t="array" ref="BK27">IF($AH27="","",
_xlfn.IFS(
$BE27="Devis 1",
IF(ISBLANK(AS27),"",IFERROR(VALUE(TRIM(SUBSTITUTE(AS27,CHAR(160),""))),0)*IFERROR(VALUE(TRIM(SUBSTITUTE($AH27,CHAR(160),""))),0)),
$BE27="Devis 2",
IF(ISBLANK(AX27),"",IFERROR(VALUE(TRIM(SUBSTITUTE(AX27,CHAR(160),""))),0)*IFERROR(VALUE(TRIM(SUBSTITUTE($AH27,CHAR(160),""))),0)),
$BE27="Devis 3",
IF(ISBLANK(BC27),"",IFERROR(VALUE(TRIM(SUBSTITUTE(BC27,CHAR(160),""))),0)*IFERROR(VALUE(TRIM(SUBSTITUTE($AH27,CHAR(160),""))),0)),
TRUE,0
)
)</f>
        <v/>
      </c>
      <c r="BL27" s="281" t="str">
        <f t="shared" si="43"/>
        <v/>
      </c>
      <c r="BM27" s="602"/>
      <c r="BN27" s="23" t="str" cm="1">
        <f t="array" ref="BN27">IF(OR(BL27="",BI27="",BJ27="",BG27="",BK27="",BH27=""),"",_xlfn.IFS(
ROUND(IFERROR(VALUE(TRIM(SUBSTITUTE(BL27,CHAR(160),""))),0),2)&gt;
ROUND(IFERROR(VALUE(TRIM(SUBSTITUTE(BI27,CHAR(160),""))),0),2),
"KO : Le montant retenu TTC est supérieur au montant raisonnable TTC. Merci de revoir la ligne de dépense ou plafonner son montant.",
ROUND(IFERROR(VALUE(TRIM(SUBSTITUTE(BJ27,CHAR(160),""))),0),2)&gt;
ROUND(IFERROR(VALUE(TRIM(SUBSTITUTE(BG27,CHAR(160),""))),0),2),
"Attention : Le montant retenu HT est supérieur au montant HT raisonnable. Merci de revoir la ligne de dépense, plafonner son montant, ou justifier la reventillation HT / TVA.",
ROUND(IFERROR(VALUE(TRIM(SUBSTITUTE(BK27,CHAR(160),""))),0),2)&gt;
ROUND(IFERROR(VALUE(TRIM(SUBSTITUTE(BH27,CHAR(160),""))),0),2),
"Attention : Le montant TVA retenu est supérieur au montant TVA raisonnable. Merci de revoir la ligne de dépense, plafonner son montant, ou justifier la reventillation HT / TVA.",
ROUND(IFERROR(VALUE(TRIM(SUBSTITUTE(BL27,CHAR(160),""))),0),2)&gt;
ROUND(IFERROR(VALUE(TRIM(SUBSTITUTE(MIN(P27,U27,Z27),CHAR(160),""))),0),2),
"Attention : Le devis retenu n'est pas le moins cher. Une justification de la part du porteur est nécessaire.",
ROUND(IFERROR(VALUE(TRIM(SUBSTITUTE(BL27,CHAR(160),""))),0),2)=0,
"Attention : montant présenté entièrement écarté",
ROUND(IFERROR(VALUE(TRIM(SUBSTITUTE(BI27,CHAR(160),""))),0),2)=
ROUND(IFERROR(VALUE(TRIM(SUBSTITUTE(BL27,CHAR(160),""))),0),2),
"OK",
ROUND(IFERROR(VALUE(TRIM(SUBSTITUTE(BI27,CHAR(160),""))),0),2)&gt;
ROUND(IFERROR(VALUE(TRIM(SUBSTITUTE(BL27,CHAR(160),""))),0),2),
" OK : Montant instruit inférieur au montant raisonnable.",
TRUE,""
))</f>
        <v/>
      </c>
      <c r="BO27" s="23" t="str" cm="1">
        <f t="array" ref="BO27">IF(OR(BL27="",AD27="",BJ27="",AB27="",BK27="",AC27=""),"",_xlfn.IFS(
ROUND(IFERROR(VALUE(TRIM(SUBSTITUTE(BL27,CHAR(160),""))),0),2)&gt;
ROUND(IFERROR(VALUE(TRIM(SUBSTITUTE(AD27,CHAR(160),""))),0),2),
"KO : Le montant retenu TTC est supérieur au montant présenté TTC. Merci de revoir la ligne de dépense ou plafonner son montant.",
ROUND(IFERROR(VALUE(TRIM(SUBSTITUTE(BJ27,CHAR(160),""))),0),2)&gt;
ROUND(IFERROR(VALUE(TRIM(SUBSTITUTE(AB27,CHAR(160),""))),0),2),
"Attention : Le montant retenu HT est supérieur au montant HT présenté. Merci de revoir la ligne de dépense, plafonner son montant, ou justifier la reventillation HT / TVA.",
ROUND(IFERROR(VALUE(TRIM(SUBSTITUTE(BK27,CHAR(160),""))),0),2)&gt;
ROUND(IFERROR(VALUE(TRIM(SUBSTITUTE(AC27,CHAR(160),""))),0),2),
"Attention : Le montant TVA retenu est supérieur au montant TVA présenté. Merci de revoir la ligne de dépense, plafonner son montant, ou justifier la reventillation HT / TVA.",
ROUND(IFERROR(VALUE(TRIM(SUBSTITUTE(AD27,CHAR(160),""))),0),2)=0,
"",
ROUND(IFERROR(VALUE(TRIM(SUBSTITUTE(BL27,CHAR(160),""))),0),2)=
ROUND(IFERROR(VALUE(TRIM(SUBSTITUTE(AD27,CHAR(160),""))),0),2),
"OK",
ROUND(IFERROR(VALUE(TRIM(SUBSTITUTE(BL27,CHAR(160),""))),0),2)=0,
"Attention : Montant présenté entièrement rejeté.",
ROUND(IFERROR(VALUE(TRIM(SUBSTITUTE(BL27,CHAR(160),""))),0),2)&lt;
ROUND(IFERROR(VALUE(TRIM(SUBSTITUTE(AD27,CHAR(160),""))),0),2),
"Attention : Montant présenté partiellement rejeté.",
TRUE,""
))</f>
        <v/>
      </c>
      <c r="BP27" s="113" t="str">
        <f t="shared" si="44"/>
        <v/>
      </c>
      <c r="BQ27" s="113" t="str">
        <f t="shared" si="45"/>
        <v/>
      </c>
      <c r="BR27" s="33" t="str">
        <f t="shared" si="46"/>
        <v/>
      </c>
    </row>
    <row r="28" spans="1:71" ht="15" customHeight="1">
      <c r="A28" s="193">
        <v>20</v>
      </c>
      <c r="B28" s="7"/>
      <c r="C28" s="7"/>
      <c r="D28" s="19"/>
      <c r="E28" s="7"/>
      <c r="F28" s="7"/>
      <c r="G28" s="7"/>
      <c r="H28" s="7"/>
      <c r="I28" s="28"/>
      <c r="J28" s="7"/>
      <c r="K28" s="29"/>
      <c r="L28" s="678"/>
      <c r="M28" s="7"/>
      <c r="N28" s="672"/>
      <c r="O28" s="11"/>
      <c r="P28" s="107" t="str">
        <f t="shared" si="48"/>
        <v/>
      </c>
      <c r="Q28" s="699"/>
      <c r="R28" s="702"/>
      <c r="S28" s="684"/>
      <c r="T28" s="11"/>
      <c r="U28" s="107" t="str">
        <f t="shared" si="49"/>
        <v/>
      </c>
      <c r="V28" s="695"/>
      <c r="W28" s="685"/>
      <c r="X28" s="707"/>
      <c r="Y28" s="684"/>
      <c r="Z28" s="108" t="str">
        <f t="shared" si="50"/>
        <v/>
      </c>
      <c r="AA28" s="25"/>
      <c r="AB28" s="287" t="str" cm="1">
        <f t="array" ref="AB28">IF((_xlfn.IFS(TRIM(SUBSTITUTE(AA28,CHAR(160),""))="Devis 1",IFERROR(VALUE(TRIM(SUBSTITUTE(N28,CHAR(160),""))),0),TRIM(SUBSTITUTE(AA28,CHAR(160),""))="Devis 2",IFERROR(VALUE(TRIM(SUBSTITUTE(S28,CHAR(160),""))),0),TRIM(SUBSTITUTE(AA28,CHAR(160),""))="Devis 3",IFERROR(VALUE(TRIM(SUBSTITUTE(X28,CHAR(160),""))),0),TRUE,0)*IFERROR(VALUE(TRIM(SUBSTITUTE(D28,CHAR(160),""))),0))=0,"",_xlfn.IFS(TRIM(SUBSTITUTE(AA28,CHAR(160),""))="Devis 1",IFERROR(VALUE(TRIM(SUBSTITUTE(N28,CHAR(160),""))),0),TRIM(SUBSTITUTE(AA28,CHAR(160),""))="Devis 2",IFERROR(VALUE(TRIM(SUBSTITUTE(S28,CHAR(160),""))),0),TRIM(SUBSTITUTE(AA28,CHAR(160),""))="Devis 3",IFERROR(VALUE(TRIM(SUBSTITUTE(X28,CHAR(160),""))),0),TRUE,0)*IFERROR(VALUE(TRIM(SUBSTITUTE(D28,CHAR(160),""))),0))</f>
        <v/>
      </c>
      <c r="AC28" s="275" t="str" cm="1">
        <f t="array" ref="AC28">IF(_xlfn.IFS(TRIM(SUBSTITUTE(AA28,CHAR(160),""))="Devis 1",IFERROR(VALUE(TRIM(SUBSTITUTE(O28,CHAR(160),""))),0),TRIM(SUBSTITUTE(AA28,CHAR(160),""))="Devis 2",IFERROR(VALUE(TRIM(SUBSTITUTE(T28,CHAR(160),""))),0),TRIM(SUBSTITUTE(AA28,CHAR(160),""))="Devis 3",IFERROR(VALUE(TRIM(SUBSTITUTE(Y28,CHAR(160),""))),0),TRUE,0)*IFERROR(VALUE(TRIM(SUBSTITUTE(D28,CHAR(160),""))),0)=0,IF(AB28&lt;&gt;"",0,""),_xlfn.IFS(TRIM(SUBSTITUTE(AA28,CHAR(160),""))="Devis 1",IFERROR(VALUE(TRIM(SUBSTITUTE(O28,CHAR(160),""))),0),TRIM(SUBSTITUTE(AA28,CHAR(160),""))="Devis 2",IFERROR(VALUE(TRIM(SUBSTITUTE(T28,CHAR(160),""))),0),TRIM(SUBSTITUTE(AA28,CHAR(160),""))="Devis 3",IFERROR(VALUE(TRIM(SUBSTITUTE(Y28,CHAR(160),""))),0),TRUE,0)*IFERROR(VALUE(TRIM(SUBSTITUTE(D28,CHAR(160),""))),0))</f>
        <v/>
      </c>
      <c r="AD28" s="285" t="str">
        <f t="shared" si="51"/>
        <v/>
      </c>
      <c r="AE28" s="26"/>
      <c r="AF28" s="109" t="str">
        <f t="shared" si="14"/>
        <v/>
      </c>
      <c r="AG28" s="109" t="str">
        <f t="shared" si="15"/>
        <v/>
      </c>
      <c r="AH28" s="885" t="str">
        <f t="shared" si="16"/>
        <v/>
      </c>
      <c r="AI28" s="109" t="str">
        <f t="shared" si="17"/>
        <v/>
      </c>
      <c r="AJ28" s="109" t="str">
        <f t="shared" si="18"/>
        <v/>
      </c>
      <c r="AK28" s="109" t="str">
        <f t="shared" si="19"/>
        <v/>
      </c>
      <c r="AL28" s="109" t="str">
        <f t="shared" si="20"/>
        <v/>
      </c>
      <c r="AM28" s="109" t="str">
        <f t="shared" si="21"/>
        <v/>
      </c>
      <c r="AN28" s="109" t="str">
        <f t="shared" si="22"/>
        <v/>
      </c>
      <c r="AO28" s="109" t="str">
        <f t="shared" si="23"/>
        <v/>
      </c>
      <c r="AP28" s="754" t="str">
        <f t="shared" si="24"/>
        <v/>
      </c>
      <c r="AQ28" s="755" t="str">
        <f t="shared" si="25"/>
        <v/>
      </c>
      <c r="AR28" s="195" t="str">
        <f t="shared" si="26"/>
        <v/>
      </c>
      <c r="AS28" s="195" t="str">
        <f t="shared" si="27"/>
        <v/>
      </c>
      <c r="AT28" s="664" t="str">
        <f t="shared" si="28"/>
        <v/>
      </c>
      <c r="AU28" s="756" t="str">
        <f t="shared" si="29"/>
        <v/>
      </c>
      <c r="AV28" s="195" t="str">
        <f t="shared" si="30"/>
        <v/>
      </c>
      <c r="AW28" s="195" t="str">
        <f t="shared" si="31"/>
        <v/>
      </c>
      <c r="AX28" s="195" t="str">
        <f t="shared" si="32"/>
        <v/>
      </c>
      <c r="AY28" s="728" t="str">
        <f t="shared" si="33"/>
        <v/>
      </c>
      <c r="AZ28" s="195" t="str">
        <f t="shared" si="34"/>
        <v/>
      </c>
      <c r="BA28" s="195" t="str">
        <f t="shared" si="35"/>
        <v/>
      </c>
      <c r="BB28" s="195" t="str">
        <f t="shared" si="36"/>
        <v/>
      </c>
      <c r="BC28" s="195" t="str">
        <f t="shared" si="37"/>
        <v/>
      </c>
      <c r="BD28" s="112" t="str">
        <f t="shared" si="38"/>
        <v/>
      </c>
      <c r="BE28" s="109" t="str">
        <f t="shared" si="39"/>
        <v/>
      </c>
      <c r="BF28" s="602"/>
      <c r="BG28" s="113" t="str">
        <f t="shared" si="40"/>
        <v/>
      </c>
      <c r="BH28" s="113" t="str">
        <f t="shared" si="41"/>
        <v/>
      </c>
      <c r="BI28" s="113" t="str">
        <f t="shared" si="42"/>
        <v/>
      </c>
      <c r="BJ28" s="281" t="str" cm="1">
        <f t="array" ref="BJ28">IF($AH28="","",
_xlfn.IFS(
$BE28="Devis 1",
IF(ISBLANK(AR28),"",IFERROR(VALUE(TRIM(SUBSTITUTE(AR28,CHAR(160),""))),0)*IFERROR(VALUE(TRIM(SUBSTITUTE($AH28,CHAR(160),""))),0)),
$BE28="Devis 2",
IF(ISBLANK(AW28),"",IFERROR(VALUE(TRIM(SUBSTITUTE(AW28,CHAR(160),""))),0)*IFERROR(VALUE(TRIM(SUBSTITUTE($AH28,CHAR(160),""))),0)),
$BE28="Devis 3",
IF(ISBLANK(BB28),"",IFERROR(VALUE(TRIM(SUBSTITUTE(BB28,CHAR(160),""))),0)*IFERROR(VALUE(TRIM(SUBSTITUTE($AH28,CHAR(160),""))),0)),
TRUE,0
)
)</f>
        <v/>
      </c>
      <c r="BK28" s="281" t="str" cm="1">
        <f t="array" ref="BK28">IF($AH28="","",
_xlfn.IFS(
$BE28="Devis 1",
IF(ISBLANK(AS28),"",IFERROR(VALUE(TRIM(SUBSTITUTE(AS28,CHAR(160),""))),0)*IFERROR(VALUE(TRIM(SUBSTITUTE($AH28,CHAR(160),""))),0)),
$BE28="Devis 2",
IF(ISBLANK(AX28),"",IFERROR(VALUE(TRIM(SUBSTITUTE(AX28,CHAR(160),""))),0)*IFERROR(VALUE(TRIM(SUBSTITUTE($AH28,CHAR(160),""))),0)),
$BE28="Devis 3",
IF(ISBLANK(BC28),"",IFERROR(VALUE(TRIM(SUBSTITUTE(BC28,CHAR(160),""))),0)*IFERROR(VALUE(TRIM(SUBSTITUTE($AH28,CHAR(160),""))),0)),
TRUE,0
)
)</f>
        <v/>
      </c>
      <c r="BL28" s="281" t="str">
        <f t="shared" si="43"/>
        <v/>
      </c>
      <c r="BM28" s="602"/>
      <c r="BN28" s="23" t="str" cm="1">
        <f t="array" ref="BN28">IF(OR(BL28="",BI28="",BJ28="",BG28="",BK28="",BH28=""),"",_xlfn.IFS(
ROUND(IFERROR(VALUE(TRIM(SUBSTITUTE(BL28,CHAR(160),""))),0),2)&gt;
ROUND(IFERROR(VALUE(TRIM(SUBSTITUTE(BI28,CHAR(160),""))),0),2),
"KO : Le montant retenu TTC est supérieur au montant raisonnable TTC. Merci de revoir la ligne de dépense ou plafonner son montant.",
ROUND(IFERROR(VALUE(TRIM(SUBSTITUTE(BJ28,CHAR(160),""))),0),2)&gt;
ROUND(IFERROR(VALUE(TRIM(SUBSTITUTE(BG28,CHAR(160),""))),0),2),
"Attention : Le montant retenu HT est supérieur au montant HT raisonnable. Merci de revoir la ligne de dépense, plafonner son montant, ou justifier la reventillation HT / TVA.",
ROUND(IFERROR(VALUE(TRIM(SUBSTITUTE(BK28,CHAR(160),""))),0),2)&gt;
ROUND(IFERROR(VALUE(TRIM(SUBSTITUTE(BH28,CHAR(160),""))),0),2),
"Attention : Le montant TVA retenu est supérieur au montant TVA raisonnable. Merci de revoir la ligne de dépense, plafonner son montant, ou justifier la reventillation HT / TVA.",
ROUND(IFERROR(VALUE(TRIM(SUBSTITUTE(BL28,CHAR(160),""))),0),2)&gt;
ROUND(IFERROR(VALUE(TRIM(SUBSTITUTE(MIN(P28,U28,Z28),CHAR(160),""))),0),2),
"Attention : Le devis retenu n'est pas le moins cher. Une justification de la part du porteur est nécessaire.",
ROUND(IFERROR(VALUE(TRIM(SUBSTITUTE(BL28,CHAR(160),""))),0),2)=0,
"Attention : montant présenté entièrement écarté",
ROUND(IFERROR(VALUE(TRIM(SUBSTITUTE(BI28,CHAR(160),""))),0),2)=
ROUND(IFERROR(VALUE(TRIM(SUBSTITUTE(BL28,CHAR(160),""))),0),2),
"OK",
ROUND(IFERROR(VALUE(TRIM(SUBSTITUTE(BI28,CHAR(160),""))),0),2)&gt;
ROUND(IFERROR(VALUE(TRIM(SUBSTITUTE(BL28,CHAR(160),""))),0),2),
" OK : Montant instruit inférieur au montant raisonnable.",
TRUE,""
))</f>
        <v/>
      </c>
      <c r="BO28" s="23" t="str" cm="1">
        <f t="array" ref="BO28">IF(OR(BL28="",AD28="",BJ28="",AB28="",BK28="",AC28=""),"",_xlfn.IFS(
ROUND(IFERROR(VALUE(TRIM(SUBSTITUTE(BL28,CHAR(160),""))),0),2)&gt;
ROUND(IFERROR(VALUE(TRIM(SUBSTITUTE(AD28,CHAR(160),""))),0),2),
"KO : Le montant retenu TTC est supérieur au montant présenté TTC. Merci de revoir la ligne de dépense ou plafonner son montant.",
ROUND(IFERROR(VALUE(TRIM(SUBSTITUTE(BJ28,CHAR(160),""))),0),2)&gt;
ROUND(IFERROR(VALUE(TRIM(SUBSTITUTE(AB28,CHAR(160),""))),0),2),
"Attention : Le montant retenu HT est supérieur au montant HT présenté. Merci de revoir la ligne de dépense, plafonner son montant, ou justifier la reventillation HT / TVA.",
ROUND(IFERROR(VALUE(TRIM(SUBSTITUTE(BK28,CHAR(160),""))),0),2)&gt;
ROUND(IFERROR(VALUE(TRIM(SUBSTITUTE(AC28,CHAR(160),""))),0),2),
"Attention : Le montant TVA retenu est supérieur au montant TVA présenté. Merci de revoir la ligne de dépense, plafonner son montant, ou justifier la reventillation HT / TVA.",
ROUND(IFERROR(VALUE(TRIM(SUBSTITUTE(AD28,CHAR(160),""))),0),2)=0,
"",
ROUND(IFERROR(VALUE(TRIM(SUBSTITUTE(BL28,CHAR(160),""))),0),2)=
ROUND(IFERROR(VALUE(TRIM(SUBSTITUTE(AD28,CHAR(160),""))),0),2),
"OK",
ROUND(IFERROR(VALUE(TRIM(SUBSTITUTE(BL28,CHAR(160),""))),0),2)=0,
"Attention : Montant présenté entièrement rejeté.",
ROUND(IFERROR(VALUE(TRIM(SUBSTITUTE(BL28,CHAR(160),""))),0),2)&lt;
ROUND(IFERROR(VALUE(TRIM(SUBSTITUTE(AD28,CHAR(160),""))),0),2),
"Attention : Montant présenté partiellement rejeté.",
TRUE,""
))</f>
        <v/>
      </c>
      <c r="BP28" s="113" t="str">
        <f t="shared" si="44"/>
        <v/>
      </c>
      <c r="BQ28" s="113" t="str">
        <f t="shared" si="45"/>
        <v/>
      </c>
      <c r="BR28" s="33" t="str">
        <f t="shared" si="46"/>
        <v/>
      </c>
    </row>
    <row r="29" spans="1:71" ht="15" customHeight="1">
      <c r="A29" s="193">
        <v>21</v>
      </c>
      <c r="B29" s="7"/>
      <c r="C29" s="7"/>
      <c r="D29" s="19"/>
      <c r="E29" s="7"/>
      <c r="F29" s="7"/>
      <c r="G29" s="7"/>
      <c r="H29" s="7"/>
      <c r="I29" s="28"/>
      <c r="J29" s="7"/>
      <c r="K29" s="29"/>
      <c r="L29" s="678"/>
      <c r="M29" s="7"/>
      <c r="N29" s="672"/>
      <c r="O29" s="11"/>
      <c r="P29" s="107" t="str">
        <f t="shared" si="48"/>
        <v/>
      </c>
      <c r="Q29" s="699"/>
      <c r="R29" s="702"/>
      <c r="S29" s="684"/>
      <c r="T29" s="11"/>
      <c r="U29" s="107" t="str">
        <f t="shared" si="49"/>
        <v/>
      </c>
      <c r="V29" s="695"/>
      <c r="W29" s="685"/>
      <c r="X29" s="707"/>
      <c r="Y29" s="684"/>
      <c r="Z29" s="108" t="str">
        <f t="shared" si="50"/>
        <v/>
      </c>
      <c r="AA29" s="25"/>
      <c r="AB29" s="287" t="str" cm="1">
        <f t="array" ref="AB29">IF((_xlfn.IFS(TRIM(SUBSTITUTE(AA29,CHAR(160),""))="Devis 1",IFERROR(VALUE(TRIM(SUBSTITUTE(N29,CHAR(160),""))),0),TRIM(SUBSTITUTE(AA29,CHAR(160),""))="Devis 2",IFERROR(VALUE(TRIM(SUBSTITUTE(S29,CHAR(160),""))),0),TRIM(SUBSTITUTE(AA29,CHAR(160),""))="Devis 3",IFERROR(VALUE(TRIM(SUBSTITUTE(X29,CHAR(160),""))),0),TRUE,0)*IFERROR(VALUE(TRIM(SUBSTITUTE(D29,CHAR(160),""))),0))=0,"",_xlfn.IFS(TRIM(SUBSTITUTE(AA29,CHAR(160),""))="Devis 1",IFERROR(VALUE(TRIM(SUBSTITUTE(N29,CHAR(160),""))),0),TRIM(SUBSTITUTE(AA29,CHAR(160),""))="Devis 2",IFERROR(VALUE(TRIM(SUBSTITUTE(S29,CHAR(160),""))),0),TRIM(SUBSTITUTE(AA29,CHAR(160),""))="Devis 3",IFERROR(VALUE(TRIM(SUBSTITUTE(X29,CHAR(160),""))),0),TRUE,0)*IFERROR(VALUE(TRIM(SUBSTITUTE(D29,CHAR(160),""))),0))</f>
        <v/>
      </c>
      <c r="AC29" s="275" t="str" cm="1">
        <f t="array" ref="AC29">IF(_xlfn.IFS(TRIM(SUBSTITUTE(AA29,CHAR(160),""))="Devis 1",IFERROR(VALUE(TRIM(SUBSTITUTE(O29,CHAR(160),""))),0),TRIM(SUBSTITUTE(AA29,CHAR(160),""))="Devis 2",IFERROR(VALUE(TRIM(SUBSTITUTE(T29,CHAR(160),""))),0),TRIM(SUBSTITUTE(AA29,CHAR(160),""))="Devis 3",IFERROR(VALUE(TRIM(SUBSTITUTE(Y29,CHAR(160),""))),0),TRUE,0)*IFERROR(VALUE(TRIM(SUBSTITUTE(D29,CHAR(160),""))),0)=0,IF(AB29&lt;&gt;"",0,""),_xlfn.IFS(TRIM(SUBSTITUTE(AA29,CHAR(160),""))="Devis 1",IFERROR(VALUE(TRIM(SUBSTITUTE(O29,CHAR(160),""))),0),TRIM(SUBSTITUTE(AA29,CHAR(160),""))="Devis 2",IFERROR(VALUE(TRIM(SUBSTITUTE(T29,CHAR(160),""))),0),TRIM(SUBSTITUTE(AA29,CHAR(160),""))="Devis 3",IFERROR(VALUE(TRIM(SUBSTITUTE(Y29,CHAR(160),""))),0),TRUE,0)*IFERROR(VALUE(TRIM(SUBSTITUTE(D29,CHAR(160),""))),0))</f>
        <v/>
      </c>
      <c r="AD29" s="285" t="str">
        <f t="shared" si="51"/>
        <v/>
      </c>
      <c r="AE29" s="26"/>
      <c r="AF29" s="109" t="str">
        <f t="shared" si="14"/>
        <v/>
      </c>
      <c r="AG29" s="109" t="str">
        <f t="shared" si="15"/>
        <v/>
      </c>
      <c r="AH29" s="885" t="str">
        <f t="shared" si="16"/>
        <v/>
      </c>
      <c r="AI29" s="109" t="str">
        <f t="shared" si="17"/>
        <v/>
      </c>
      <c r="AJ29" s="109" t="str">
        <f t="shared" si="18"/>
        <v/>
      </c>
      <c r="AK29" s="109" t="str">
        <f t="shared" si="19"/>
        <v/>
      </c>
      <c r="AL29" s="109" t="str">
        <f t="shared" si="20"/>
        <v/>
      </c>
      <c r="AM29" s="109" t="str">
        <f t="shared" si="21"/>
        <v/>
      </c>
      <c r="AN29" s="109" t="str">
        <f t="shared" si="22"/>
        <v/>
      </c>
      <c r="AO29" s="109" t="str">
        <f t="shared" si="23"/>
        <v/>
      </c>
      <c r="AP29" s="754" t="str">
        <f t="shared" si="24"/>
        <v/>
      </c>
      <c r="AQ29" s="755" t="str">
        <f t="shared" si="25"/>
        <v/>
      </c>
      <c r="AR29" s="195" t="str">
        <f t="shared" si="26"/>
        <v/>
      </c>
      <c r="AS29" s="195" t="str">
        <f t="shared" si="27"/>
        <v/>
      </c>
      <c r="AT29" s="664" t="str">
        <f t="shared" si="28"/>
        <v/>
      </c>
      <c r="AU29" s="756" t="str">
        <f t="shared" si="29"/>
        <v/>
      </c>
      <c r="AV29" s="195" t="str">
        <f t="shared" si="30"/>
        <v/>
      </c>
      <c r="AW29" s="195" t="str">
        <f t="shared" si="31"/>
        <v/>
      </c>
      <c r="AX29" s="195" t="str">
        <f t="shared" si="32"/>
        <v/>
      </c>
      <c r="AY29" s="728" t="str">
        <f t="shared" si="33"/>
        <v/>
      </c>
      <c r="AZ29" s="195" t="str">
        <f t="shared" si="34"/>
        <v/>
      </c>
      <c r="BA29" s="195" t="str">
        <f t="shared" si="35"/>
        <v/>
      </c>
      <c r="BB29" s="195" t="str">
        <f t="shared" si="36"/>
        <v/>
      </c>
      <c r="BC29" s="195" t="str">
        <f t="shared" si="37"/>
        <v/>
      </c>
      <c r="BD29" s="112" t="str">
        <f t="shared" si="38"/>
        <v/>
      </c>
      <c r="BE29" s="109" t="str">
        <f t="shared" si="39"/>
        <v/>
      </c>
      <c r="BF29" s="602"/>
      <c r="BG29" s="113" t="str">
        <f t="shared" si="40"/>
        <v/>
      </c>
      <c r="BH29" s="113" t="str">
        <f t="shared" si="41"/>
        <v/>
      </c>
      <c r="BI29" s="113" t="str">
        <f t="shared" si="42"/>
        <v/>
      </c>
      <c r="BJ29" s="281" t="str" cm="1">
        <f t="array" ref="BJ29">IF($AH29="","",
_xlfn.IFS(
$BE29="Devis 1",
IF(ISBLANK(AR29),"",IFERROR(VALUE(TRIM(SUBSTITUTE(AR29,CHAR(160),""))),0)*IFERROR(VALUE(TRIM(SUBSTITUTE($AH29,CHAR(160),""))),0)),
$BE29="Devis 2",
IF(ISBLANK(AW29),"",IFERROR(VALUE(TRIM(SUBSTITUTE(AW29,CHAR(160),""))),0)*IFERROR(VALUE(TRIM(SUBSTITUTE($AH29,CHAR(160),""))),0)),
$BE29="Devis 3",
IF(ISBLANK(BB29),"",IFERROR(VALUE(TRIM(SUBSTITUTE(BB29,CHAR(160),""))),0)*IFERROR(VALUE(TRIM(SUBSTITUTE($AH29,CHAR(160),""))),0)),
TRUE,0
)
)</f>
        <v/>
      </c>
      <c r="BK29" s="281" t="str" cm="1">
        <f t="array" ref="BK29">IF($AH29="","",
_xlfn.IFS(
$BE29="Devis 1",
IF(ISBLANK(AS29),"",IFERROR(VALUE(TRIM(SUBSTITUTE(AS29,CHAR(160),""))),0)*IFERROR(VALUE(TRIM(SUBSTITUTE($AH29,CHAR(160),""))),0)),
$BE29="Devis 2",
IF(ISBLANK(AX29),"",IFERROR(VALUE(TRIM(SUBSTITUTE(AX29,CHAR(160),""))),0)*IFERROR(VALUE(TRIM(SUBSTITUTE($AH29,CHAR(160),""))),0)),
$BE29="Devis 3",
IF(ISBLANK(BC29),"",IFERROR(VALUE(TRIM(SUBSTITUTE(BC29,CHAR(160),""))),0)*IFERROR(VALUE(TRIM(SUBSTITUTE($AH29,CHAR(160),""))),0)),
TRUE,0
)
)</f>
        <v/>
      </c>
      <c r="BL29" s="281" t="str">
        <f t="shared" si="43"/>
        <v/>
      </c>
      <c r="BM29" s="602"/>
      <c r="BN29" s="23" t="str" cm="1">
        <f t="array" ref="BN29">IF(OR(BL29="",BI29="",BJ29="",BG29="",BK29="",BH29=""),"",_xlfn.IFS(
ROUND(IFERROR(VALUE(TRIM(SUBSTITUTE(BL29,CHAR(160),""))),0),2)&gt;
ROUND(IFERROR(VALUE(TRIM(SUBSTITUTE(BI29,CHAR(160),""))),0),2),
"KO : Le montant retenu TTC est supérieur au montant raisonnable TTC. Merci de revoir la ligne de dépense ou plafonner son montant.",
ROUND(IFERROR(VALUE(TRIM(SUBSTITUTE(BJ29,CHAR(160),""))),0),2)&gt;
ROUND(IFERROR(VALUE(TRIM(SUBSTITUTE(BG29,CHAR(160),""))),0),2),
"Attention : Le montant retenu HT est supérieur au montant HT raisonnable. Merci de revoir la ligne de dépense, plafonner son montant, ou justifier la reventillation HT / TVA.",
ROUND(IFERROR(VALUE(TRIM(SUBSTITUTE(BK29,CHAR(160),""))),0),2)&gt;
ROUND(IFERROR(VALUE(TRIM(SUBSTITUTE(BH29,CHAR(160),""))),0),2),
"Attention : Le montant TVA retenu est supérieur au montant TVA raisonnable. Merci de revoir la ligne de dépense, plafonner son montant, ou justifier la reventillation HT / TVA.",
ROUND(IFERROR(VALUE(TRIM(SUBSTITUTE(BL29,CHAR(160),""))),0),2)&gt;
ROUND(IFERROR(VALUE(TRIM(SUBSTITUTE(MIN(P29,U29,Z29),CHAR(160),""))),0),2),
"Attention : Le devis retenu n'est pas le moins cher. Une justification de la part du porteur est nécessaire.",
ROUND(IFERROR(VALUE(TRIM(SUBSTITUTE(BL29,CHAR(160),""))),0),2)=0,
"Attention : montant présenté entièrement écarté",
ROUND(IFERROR(VALUE(TRIM(SUBSTITUTE(BI29,CHAR(160),""))),0),2)=
ROUND(IFERROR(VALUE(TRIM(SUBSTITUTE(BL29,CHAR(160),""))),0),2),
"OK",
ROUND(IFERROR(VALUE(TRIM(SUBSTITUTE(BI29,CHAR(160),""))),0),2)&gt;
ROUND(IFERROR(VALUE(TRIM(SUBSTITUTE(BL29,CHAR(160),""))),0),2),
" OK : Montant instruit inférieur au montant raisonnable.",
TRUE,""
))</f>
        <v/>
      </c>
      <c r="BO29" s="23" t="str" cm="1">
        <f t="array" ref="BO29">IF(OR(BL29="",AD29="",BJ29="",AB29="",BK29="",AC29=""),"",_xlfn.IFS(
ROUND(IFERROR(VALUE(TRIM(SUBSTITUTE(BL29,CHAR(160),""))),0),2)&gt;
ROUND(IFERROR(VALUE(TRIM(SUBSTITUTE(AD29,CHAR(160),""))),0),2),
"KO : Le montant retenu TTC est supérieur au montant présenté TTC. Merci de revoir la ligne de dépense ou plafonner son montant.",
ROUND(IFERROR(VALUE(TRIM(SUBSTITUTE(BJ29,CHAR(160),""))),0),2)&gt;
ROUND(IFERROR(VALUE(TRIM(SUBSTITUTE(AB29,CHAR(160),""))),0),2),
"Attention : Le montant retenu HT est supérieur au montant HT présenté. Merci de revoir la ligne de dépense, plafonner son montant, ou justifier la reventillation HT / TVA.",
ROUND(IFERROR(VALUE(TRIM(SUBSTITUTE(BK29,CHAR(160),""))),0),2)&gt;
ROUND(IFERROR(VALUE(TRIM(SUBSTITUTE(AC29,CHAR(160),""))),0),2),
"Attention : Le montant TVA retenu est supérieur au montant TVA présenté. Merci de revoir la ligne de dépense, plafonner son montant, ou justifier la reventillation HT / TVA.",
ROUND(IFERROR(VALUE(TRIM(SUBSTITUTE(AD29,CHAR(160),""))),0),2)=0,
"",
ROUND(IFERROR(VALUE(TRIM(SUBSTITUTE(BL29,CHAR(160),""))),0),2)=
ROUND(IFERROR(VALUE(TRIM(SUBSTITUTE(AD29,CHAR(160),""))),0),2),
"OK",
ROUND(IFERROR(VALUE(TRIM(SUBSTITUTE(BL29,CHAR(160),""))),0),2)=0,
"Attention : Montant présenté entièrement rejeté.",
ROUND(IFERROR(VALUE(TRIM(SUBSTITUTE(BL29,CHAR(160),""))),0),2)&lt;
ROUND(IFERROR(VALUE(TRIM(SUBSTITUTE(AD29,CHAR(160),""))),0),2),
"Attention : Montant présenté partiellement rejeté.",
TRUE,""
))</f>
        <v/>
      </c>
      <c r="BP29" s="113" t="str">
        <f t="shared" si="44"/>
        <v/>
      </c>
      <c r="BQ29" s="113" t="str">
        <f t="shared" si="45"/>
        <v/>
      </c>
      <c r="BR29" s="33" t="str">
        <f t="shared" si="46"/>
        <v/>
      </c>
    </row>
    <row r="30" spans="1:71" ht="15" customHeight="1">
      <c r="A30" s="193">
        <v>22</v>
      </c>
      <c r="B30" s="7"/>
      <c r="C30" s="7"/>
      <c r="D30" s="19"/>
      <c r="E30" s="7"/>
      <c r="F30" s="7"/>
      <c r="G30" s="7"/>
      <c r="H30" s="7"/>
      <c r="I30" s="28"/>
      <c r="J30" s="7"/>
      <c r="K30" s="29"/>
      <c r="L30" s="678"/>
      <c r="M30" s="7"/>
      <c r="N30" s="672"/>
      <c r="O30" s="11"/>
      <c r="P30" s="107" t="str">
        <f t="shared" si="48"/>
        <v/>
      </c>
      <c r="Q30" s="699"/>
      <c r="R30" s="702"/>
      <c r="S30" s="684"/>
      <c r="T30" s="11"/>
      <c r="U30" s="107" t="str">
        <f t="shared" si="49"/>
        <v/>
      </c>
      <c r="V30" s="695"/>
      <c r="W30" s="685"/>
      <c r="X30" s="707"/>
      <c r="Y30" s="684"/>
      <c r="Z30" s="108" t="str">
        <f t="shared" si="50"/>
        <v/>
      </c>
      <c r="AA30" s="25"/>
      <c r="AB30" s="287" t="str" cm="1">
        <f t="array" ref="AB30">IF((_xlfn.IFS(TRIM(SUBSTITUTE(AA30,CHAR(160),""))="Devis 1",IFERROR(VALUE(TRIM(SUBSTITUTE(N30,CHAR(160),""))),0),TRIM(SUBSTITUTE(AA30,CHAR(160),""))="Devis 2",IFERROR(VALUE(TRIM(SUBSTITUTE(S30,CHAR(160),""))),0),TRIM(SUBSTITUTE(AA30,CHAR(160),""))="Devis 3",IFERROR(VALUE(TRIM(SUBSTITUTE(X30,CHAR(160),""))),0),TRUE,0)*IFERROR(VALUE(TRIM(SUBSTITUTE(D30,CHAR(160),""))),0))=0,"",_xlfn.IFS(TRIM(SUBSTITUTE(AA30,CHAR(160),""))="Devis 1",IFERROR(VALUE(TRIM(SUBSTITUTE(N30,CHAR(160),""))),0),TRIM(SUBSTITUTE(AA30,CHAR(160),""))="Devis 2",IFERROR(VALUE(TRIM(SUBSTITUTE(S30,CHAR(160),""))),0),TRIM(SUBSTITUTE(AA30,CHAR(160),""))="Devis 3",IFERROR(VALUE(TRIM(SUBSTITUTE(X30,CHAR(160),""))),0),TRUE,0)*IFERROR(VALUE(TRIM(SUBSTITUTE(D30,CHAR(160),""))),0))</f>
        <v/>
      </c>
      <c r="AC30" s="275" t="str" cm="1">
        <f t="array" ref="AC30">IF(_xlfn.IFS(TRIM(SUBSTITUTE(AA30,CHAR(160),""))="Devis 1",IFERROR(VALUE(TRIM(SUBSTITUTE(O30,CHAR(160),""))),0),TRIM(SUBSTITUTE(AA30,CHAR(160),""))="Devis 2",IFERROR(VALUE(TRIM(SUBSTITUTE(T30,CHAR(160),""))),0),TRIM(SUBSTITUTE(AA30,CHAR(160),""))="Devis 3",IFERROR(VALUE(TRIM(SUBSTITUTE(Y30,CHAR(160),""))),0),TRUE,0)*IFERROR(VALUE(TRIM(SUBSTITUTE(D30,CHAR(160),""))),0)=0,IF(AB30&lt;&gt;"",0,""),_xlfn.IFS(TRIM(SUBSTITUTE(AA30,CHAR(160),""))="Devis 1",IFERROR(VALUE(TRIM(SUBSTITUTE(O30,CHAR(160),""))),0),TRIM(SUBSTITUTE(AA30,CHAR(160),""))="Devis 2",IFERROR(VALUE(TRIM(SUBSTITUTE(T30,CHAR(160),""))),0),TRIM(SUBSTITUTE(AA30,CHAR(160),""))="Devis 3",IFERROR(VALUE(TRIM(SUBSTITUTE(Y30,CHAR(160),""))),0),TRUE,0)*IFERROR(VALUE(TRIM(SUBSTITUTE(D30,CHAR(160),""))),0))</f>
        <v/>
      </c>
      <c r="AD30" s="285" t="str">
        <f t="shared" si="51"/>
        <v/>
      </c>
      <c r="AE30" s="26"/>
      <c r="AF30" s="109" t="str">
        <f t="shared" si="14"/>
        <v/>
      </c>
      <c r="AG30" s="109" t="str">
        <f t="shared" si="15"/>
        <v/>
      </c>
      <c r="AH30" s="885" t="str">
        <f t="shared" si="16"/>
        <v/>
      </c>
      <c r="AI30" s="109" t="str">
        <f t="shared" si="17"/>
        <v/>
      </c>
      <c r="AJ30" s="109" t="str">
        <f t="shared" si="18"/>
        <v/>
      </c>
      <c r="AK30" s="109" t="str">
        <f t="shared" si="19"/>
        <v/>
      </c>
      <c r="AL30" s="109" t="str">
        <f t="shared" si="20"/>
        <v/>
      </c>
      <c r="AM30" s="109" t="str">
        <f t="shared" si="21"/>
        <v/>
      </c>
      <c r="AN30" s="109" t="str">
        <f t="shared" si="22"/>
        <v/>
      </c>
      <c r="AO30" s="109" t="str">
        <f t="shared" si="23"/>
        <v/>
      </c>
      <c r="AP30" s="754" t="str">
        <f t="shared" si="24"/>
        <v/>
      </c>
      <c r="AQ30" s="755" t="str">
        <f t="shared" si="25"/>
        <v/>
      </c>
      <c r="AR30" s="195" t="str">
        <f t="shared" si="26"/>
        <v/>
      </c>
      <c r="AS30" s="195" t="str">
        <f t="shared" si="27"/>
        <v/>
      </c>
      <c r="AT30" s="664" t="str">
        <f t="shared" si="28"/>
        <v/>
      </c>
      <c r="AU30" s="756" t="str">
        <f t="shared" si="29"/>
        <v/>
      </c>
      <c r="AV30" s="195" t="str">
        <f t="shared" si="30"/>
        <v/>
      </c>
      <c r="AW30" s="195" t="str">
        <f t="shared" si="31"/>
        <v/>
      </c>
      <c r="AX30" s="195" t="str">
        <f t="shared" si="32"/>
        <v/>
      </c>
      <c r="AY30" s="728" t="str">
        <f t="shared" si="33"/>
        <v/>
      </c>
      <c r="AZ30" s="195" t="str">
        <f t="shared" si="34"/>
        <v/>
      </c>
      <c r="BA30" s="195" t="str">
        <f t="shared" si="35"/>
        <v/>
      </c>
      <c r="BB30" s="195" t="str">
        <f t="shared" si="36"/>
        <v/>
      </c>
      <c r="BC30" s="195" t="str">
        <f t="shared" si="37"/>
        <v/>
      </c>
      <c r="BD30" s="112" t="str">
        <f t="shared" si="38"/>
        <v/>
      </c>
      <c r="BE30" s="109" t="str">
        <f t="shared" si="39"/>
        <v/>
      </c>
      <c r="BF30" s="602"/>
      <c r="BG30" s="113" t="str">
        <f t="shared" si="40"/>
        <v/>
      </c>
      <c r="BH30" s="113" t="str">
        <f t="shared" si="41"/>
        <v/>
      </c>
      <c r="BI30" s="113" t="str">
        <f t="shared" si="42"/>
        <v/>
      </c>
      <c r="BJ30" s="281" t="str" cm="1">
        <f t="array" ref="BJ30">IF($AH30="","",
_xlfn.IFS(
$BE30="Devis 1",
IF(ISBLANK(AR30),"",IFERROR(VALUE(TRIM(SUBSTITUTE(AR30,CHAR(160),""))),0)*IFERROR(VALUE(TRIM(SUBSTITUTE($AH30,CHAR(160),""))),0)),
$BE30="Devis 2",
IF(ISBLANK(AW30),"",IFERROR(VALUE(TRIM(SUBSTITUTE(AW30,CHAR(160),""))),0)*IFERROR(VALUE(TRIM(SUBSTITUTE($AH30,CHAR(160),""))),0)),
$BE30="Devis 3",
IF(ISBLANK(BB30),"",IFERROR(VALUE(TRIM(SUBSTITUTE(BB30,CHAR(160),""))),0)*IFERROR(VALUE(TRIM(SUBSTITUTE($AH30,CHAR(160),""))),0)),
TRUE,0
)
)</f>
        <v/>
      </c>
      <c r="BK30" s="281" t="str" cm="1">
        <f t="array" ref="BK30">IF($AH30="","",
_xlfn.IFS(
$BE30="Devis 1",
IF(ISBLANK(AS30),"",IFERROR(VALUE(TRIM(SUBSTITUTE(AS30,CHAR(160),""))),0)*IFERROR(VALUE(TRIM(SUBSTITUTE($AH30,CHAR(160),""))),0)),
$BE30="Devis 2",
IF(ISBLANK(AX30),"",IFERROR(VALUE(TRIM(SUBSTITUTE(AX30,CHAR(160),""))),0)*IFERROR(VALUE(TRIM(SUBSTITUTE($AH30,CHAR(160),""))),0)),
$BE30="Devis 3",
IF(ISBLANK(BC30),"",IFERROR(VALUE(TRIM(SUBSTITUTE(BC30,CHAR(160),""))),0)*IFERROR(VALUE(TRIM(SUBSTITUTE($AH30,CHAR(160),""))),0)),
TRUE,0
)
)</f>
        <v/>
      </c>
      <c r="BL30" s="281" t="str">
        <f t="shared" si="43"/>
        <v/>
      </c>
      <c r="BM30" s="602"/>
      <c r="BN30" s="23" t="str" cm="1">
        <f t="array" ref="BN30">IF(OR(BL30="",BI30="",BJ30="",BG30="",BK30="",BH30=""),"",_xlfn.IFS(
ROUND(IFERROR(VALUE(TRIM(SUBSTITUTE(BL30,CHAR(160),""))),0),2)&gt;
ROUND(IFERROR(VALUE(TRIM(SUBSTITUTE(BI30,CHAR(160),""))),0),2),
"KO : Le montant retenu TTC est supérieur au montant raisonnable TTC. Merci de revoir la ligne de dépense ou plafonner son montant.",
ROUND(IFERROR(VALUE(TRIM(SUBSTITUTE(BJ30,CHAR(160),""))),0),2)&gt;
ROUND(IFERROR(VALUE(TRIM(SUBSTITUTE(BG30,CHAR(160),""))),0),2),
"Attention : Le montant retenu HT est supérieur au montant HT raisonnable. Merci de revoir la ligne de dépense, plafonner son montant, ou justifier la reventillation HT / TVA.",
ROUND(IFERROR(VALUE(TRIM(SUBSTITUTE(BK30,CHAR(160),""))),0),2)&gt;
ROUND(IFERROR(VALUE(TRIM(SUBSTITUTE(BH30,CHAR(160),""))),0),2),
"Attention : Le montant TVA retenu est supérieur au montant TVA raisonnable. Merci de revoir la ligne de dépense, plafonner son montant, ou justifier la reventillation HT / TVA.",
ROUND(IFERROR(VALUE(TRIM(SUBSTITUTE(BL30,CHAR(160),""))),0),2)&gt;
ROUND(IFERROR(VALUE(TRIM(SUBSTITUTE(MIN(P30,U30,Z30),CHAR(160),""))),0),2),
"Attention : Le devis retenu n'est pas le moins cher. Une justification de la part du porteur est nécessaire.",
ROUND(IFERROR(VALUE(TRIM(SUBSTITUTE(BL30,CHAR(160),""))),0),2)=0,
"Attention : montant présenté entièrement écarté",
ROUND(IFERROR(VALUE(TRIM(SUBSTITUTE(BI30,CHAR(160),""))),0),2)=
ROUND(IFERROR(VALUE(TRIM(SUBSTITUTE(BL30,CHAR(160),""))),0),2),
"OK",
ROUND(IFERROR(VALUE(TRIM(SUBSTITUTE(BI30,CHAR(160),""))),0),2)&gt;
ROUND(IFERROR(VALUE(TRIM(SUBSTITUTE(BL30,CHAR(160),""))),0),2),
" OK : Montant instruit inférieur au montant raisonnable.",
TRUE,""
))</f>
        <v/>
      </c>
      <c r="BO30" s="23" t="str" cm="1">
        <f t="array" ref="BO30">IF(OR(BL30="",AD30="",BJ30="",AB30="",BK30="",AC30=""),"",_xlfn.IFS(
ROUND(IFERROR(VALUE(TRIM(SUBSTITUTE(BL30,CHAR(160),""))),0),2)&gt;
ROUND(IFERROR(VALUE(TRIM(SUBSTITUTE(AD30,CHAR(160),""))),0),2),
"KO : Le montant retenu TTC est supérieur au montant présenté TTC. Merci de revoir la ligne de dépense ou plafonner son montant.",
ROUND(IFERROR(VALUE(TRIM(SUBSTITUTE(BJ30,CHAR(160),""))),0),2)&gt;
ROUND(IFERROR(VALUE(TRIM(SUBSTITUTE(AB30,CHAR(160),""))),0),2),
"Attention : Le montant retenu HT est supérieur au montant HT présenté. Merci de revoir la ligne de dépense, plafonner son montant, ou justifier la reventillation HT / TVA.",
ROUND(IFERROR(VALUE(TRIM(SUBSTITUTE(BK30,CHAR(160),""))),0),2)&gt;
ROUND(IFERROR(VALUE(TRIM(SUBSTITUTE(AC30,CHAR(160),""))),0),2),
"Attention : Le montant TVA retenu est supérieur au montant TVA présenté. Merci de revoir la ligne de dépense, plafonner son montant, ou justifier la reventillation HT / TVA.",
ROUND(IFERROR(VALUE(TRIM(SUBSTITUTE(AD30,CHAR(160),""))),0),2)=0,
"",
ROUND(IFERROR(VALUE(TRIM(SUBSTITUTE(BL30,CHAR(160),""))),0),2)=
ROUND(IFERROR(VALUE(TRIM(SUBSTITUTE(AD30,CHAR(160),""))),0),2),
"OK",
ROUND(IFERROR(VALUE(TRIM(SUBSTITUTE(BL30,CHAR(160),""))),0),2)=0,
"Attention : Montant présenté entièrement rejeté.",
ROUND(IFERROR(VALUE(TRIM(SUBSTITUTE(BL30,CHAR(160),""))),0),2)&lt;
ROUND(IFERROR(VALUE(TRIM(SUBSTITUTE(AD30,CHAR(160),""))),0),2),
"Attention : Montant présenté partiellement rejeté.",
TRUE,""
))</f>
        <v/>
      </c>
      <c r="BP30" s="113" t="str">
        <f t="shared" si="44"/>
        <v/>
      </c>
      <c r="BQ30" s="113" t="str">
        <f t="shared" si="45"/>
        <v/>
      </c>
      <c r="BR30" s="33" t="str">
        <f t="shared" si="46"/>
        <v/>
      </c>
    </row>
    <row r="31" spans="1:71" ht="15" customHeight="1">
      <c r="A31" s="193">
        <v>23</v>
      </c>
      <c r="B31" s="7"/>
      <c r="C31" s="7"/>
      <c r="D31" s="19"/>
      <c r="E31" s="7"/>
      <c r="F31" s="7"/>
      <c r="G31" s="7"/>
      <c r="H31" s="7"/>
      <c r="I31" s="28"/>
      <c r="J31" s="7"/>
      <c r="K31" s="29"/>
      <c r="L31" s="678"/>
      <c r="M31" s="7"/>
      <c r="N31" s="672"/>
      <c r="O31" s="11"/>
      <c r="P31" s="107" t="str">
        <f t="shared" si="48"/>
        <v/>
      </c>
      <c r="Q31" s="699"/>
      <c r="R31" s="702"/>
      <c r="S31" s="684"/>
      <c r="T31" s="11"/>
      <c r="U31" s="107" t="str">
        <f t="shared" si="49"/>
        <v/>
      </c>
      <c r="V31" s="695"/>
      <c r="W31" s="685"/>
      <c r="X31" s="707"/>
      <c r="Y31" s="684"/>
      <c r="Z31" s="108" t="str">
        <f t="shared" si="50"/>
        <v/>
      </c>
      <c r="AA31" s="25"/>
      <c r="AB31" s="287" t="str" cm="1">
        <f t="array" ref="AB31">IF((_xlfn.IFS(TRIM(SUBSTITUTE(AA31,CHAR(160),""))="Devis 1",IFERROR(VALUE(TRIM(SUBSTITUTE(N31,CHAR(160),""))),0),TRIM(SUBSTITUTE(AA31,CHAR(160),""))="Devis 2",IFERROR(VALUE(TRIM(SUBSTITUTE(S31,CHAR(160),""))),0),TRIM(SUBSTITUTE(AA31,CHAR(160),""))="Devis 3",IFERROR(VALUE(TRIM(SUBSTITUTE(X31,CHAR(160),""))),0),TRUE,0)*IFERROR(VALUE(TRIM(SUBSTITUTE(D31,CHAR(160),""))),0))=0,"",_xlfn.IFS(TRIM(SUBSTITUTE(AA31,CHAR(160),""))="Devis 1",IFERROR(VALUE(TRIM(SUBSTITUTE(N31,CHAR(160),""))),0),TRIM(SUBSTITUTE(AA31,CHAR(160),""))="Devis 2",IFERROR(VALUE(TRIM(SUBSTITUTE(S31,CHAR(160),""))),0),TRIM(SUBSTITUTE(AA31,CHAR(160),""))="Devis 3",IFERROR(VALUE(TRIM(SUBSTITUTE(X31,CHAR(160),""))),0),TRUE,0)*IFERROR(VALUE(TRIM(SUBSTITUTE(D31,CHAR(160),""))),0))</f>
        <v/>
      </c>
      <c r="AC31" s="275" t="str" cm="1">
        <f t="array" ref="AC31">IF(_xlfn.IFS(TRIM(SUBSTITUTE(AA31,CHAR(160),""))="Devis 1",IFERROR(VALUE(TRIM(SUBSTITUTE(O31,CHAR(160),""))),0),TRIM(SUBSTITUTE(AA31,CHAR(160),""))="Devis 2",IFERROR(VALUE(TRIM(SUBSTITUTE(T31,CHAR(160),""))),0),TRIM(SUBSTITUTE(AA31,CHAR(160),""))="Devis 3",IFERROR(VALUE(TRIM(SUBSTITUTE(Y31,CHAR(160),""))),0),TRUE,0)*IFERROR(VALUE(TRIM(SUBSTITUTE(D31,CHAR(160),""))),0)=0,IF(AB31&lt;&gt;"",0,""),_xlfn.IFS(TRIM(SUBSTITUTE(AA31,CHAR(160),""))="Devis 1",IFERROR(VALUE(TRIM(SUBSTITUTE(O31,CHAR(160),""))),0),TRIM(SUBSTITUTE(AA31,CHAR(160),""))="Devis 2",IFERROR(VALUE(TRIM(SUBSTITUTE(T31,CHAR(160),""))),0),TRIM(SUBSTITUTE(AA31,CHAR(160),""))="Devis 3",IFERROR(VALUE(TRIM(SUBSTITUTE(Y31,CHAR(160),""))),0),TRUE,0)*IFERROR(VALUE(TRIM(SUBSTITUTE(D31,CHAR(160),""))),0))</f>
        <v/>
      </c>
      <c r="AD31" s="285" t="str">
        <f t="shared" si="51"/>
        <v/>
      </c>
      <c r="AE31" s="26"/>
      <c r="AF31" s="109" t="str">
        <f t="shared" si="14"/>
        <v/>
      </c>
      <c r="AG31" s="109" t="str">
        <f t="shared" si="15"/>
        <v/>
      </c>
      <c r="AH31" s="885" t="str">
        <f t="shared" si="16"/>
        <v/>
      </c>
      <c r="AI31" s="109" t="str">
        <f t="shared" si="17"/>
        <v/>
      </c>
      <c r="AJ31" s="109" t="str">
        <f t="shared" si="18"/>
        <v/>
      </c>
      <c r="AK31" s="109" t="str">
        <f t="shared" si="19"/>
        <v/>
      </c>
      <c r="AL31" s="109" t="str">
        <f t="shared" si="20"/>
        <v/>
      </c>
      <c r="AM31" s="109" t="str">
        <f t="shared" si="21"/>
        <v/>
      </c>
      <c r="AN31" s="109" t="str">
        <f t="shared" si="22"/>
        <v/>
      </c>
      <c r="AO31" s="109" t="str">
        <f t="shared" si="23"/>
        <v/>
      </c>
      <c r="AP31" s="754" t="str">
        <f t="shared" si="24"/>
        <v/>
      </c>
      <c r="AQ31" s="755" t="str">
        <f t="shared" si="25"/>
        <v/>
      </c>
      <c r="AR31" s="195" t="str">
        <f t="shared" si="26"/>
        <v/>
      </c>
      <c r="AS31" s="195" t="str">
        <f t="shared" si="27"/>
        <v/>
      </c>
      <c r="AT31" s="664" t="str">
        <f t="shared" si="28"/>
        <v/>
      </c>
      <c r="AU31" s="756" t="str">
        <f t="shared" si="29"/>
        <v/>
      </c>
      <c r="AV31" s="195" t="str">
        <f t="shared" si="30"/>
        <v/>
      </c>
      <c r="AW31" s="195" t="str">
        <f t="shared" si="31"/>
        <v/>
      </c>
      <c r="AX31" s="195" t="str">
        <f t="shared" si="32"/>
        <v/>
      </c>
      <c r="AY31" s="728" t="str">
        <f t="shared" si="33"/>
        <v/>
      </c>
      <c r="AZ31" s="195" t="str">
        <f t="shared" si="34"/>
        <v/>
      </c>
      <c r="BA31" s="195" t="str">
        <f t="shared" si="35"/>
        <v/>
      </c>
      <c r="BB31" s="195" t="str">
        <f t="shared" si="36"/>
        <v/>
      </c>
      <c r="BC31" s="195" t="str">
        <f t="shared" si="37"/>
        <v/>
      </c>
      <c r="BD31" s="112" t="str">
        <f t="shared" si="38"/>
        <v/>
      </c>
      <c r="BE31" s="109" t="str">
        <f t="shared" si="39"/>
        <v/>
      </c>
      <c r="BF31" s="602"/>
      <c r="BG31" s="113" t="str">
        <f t="shared" si="40"/>
        <v/>
      </c>
      <c r="BH31" s="113" t="str">
        <f t="shared" si="41"/>
        <v/>
      </c>
      <c r="BI31" s="113" t="str">
        <f t="shared" si="42"/>
        <v/>
      </c>
      <c r="BJ31" s="281" t="str" cm="1">
        <f t="array" ref="BJ31">IF($AH31="","",
_xlfn.IFS(
$BE31="Devis 1",
IF(ISBLANK(AR31),"",IFERROR(VALUE(TRIM(SUBSTITUTE(AR31,CHAR(160),""))),0)*IFERROR(VALUE(TRIM(SUBSTITUTE($AH31,CHAR(160),""))),0)),
$BE31="Devis 2",
IF(ISBLANK(AW31),"",IFERROR(VALUE(TRIM(SUBSTITUTE(AW31,CHAR(160),""))),0)*IFERROR(VALUE(TRIM(SUBSTITUTE($AH31,CHAR(160),""))),0)),
$BE31="Devis 3",
IF(ISBLANK(BB31),"",IFERROR(VALUE(TRIM(SUBSTITUTE(BB31,CHAR(160),""))),0)*IFERROR(VALUE(TRIM(SUBSTITUTE($AH31,CHAR(160),""))),0)),
TRUE,0
)
)</f>
        <v/>
      </c>
      <c r="BK31" s="281" t="str" cm="1">
        <f t="array" ref="BK31">IF($AH31="","",
_xlfn.IFS(
$BE31="Devis 1",
IF(ISBLANK(AS31),"",IFERROR(VALUE(TRIM(SUBSTITUTE(AS31,CHAR(160),""))),0)*IFERROR(VALUE(TRIM(SUBSTITUTE($AH31,CHAR(160),""))),0)),
$BE31="Devis 2",
IF(ISBLANK(AX31),"",IFERROR(VALUE(TRIM(SUBSTITUTE(AX31,CHAR(160),""))),0)*IFERROR(VALUE(TRIM(SUBSTITUTE($AH31,CHAR(160),""))),0)),
$BE31="Devis 3",
IF(ISBLANK(BC31),"",IFERROR(VALUE(TRIM(SUBSTITUTE(BC31,CHAR(160),""))),0)*IFERROR(VALUE(TRIM(SUBSTITUTE($AH31,CHAR(160),""))),0)),
TRUE,0
)
)</f>
        <v/>
      </c>
      <c r="BL31" s="281" t="str">
        <f t="shared" si="43"/>
        <v/>
      </c>
      <c r="BM31" s="602"/>
      <c r="BN31" s="23" t="str" cm="1">
        <f t="array" ref="BN31">IF(OR(BL31="",BI31="",BJ31="",BG31="",BK31="",BH31=""),"",_xlfn.IFS(
ROUND(IFERROR(VALUE(TRIM(SUBSTITUTE(BL31,CHAR(160),""))),0),2)&gt;
ROUND(IFERROR(VALUE(TRIM(SUBSTITUTE(BI31,CHAR(160),""))),0),2),
"KO : Le montant retenu TTC est supérieur au montant raisonnable TTC. Merci de revoir la ligne de dépense ou plafonner son montant.",
ROUND(IFERROR(VALUE(TRIM(SUBSTITUTE(BJ31,CHAR(160),""))),0),2)&gt;
ROUND(IFERROR(VALUE(TRIM(SUBSTITUTE(BG31,CHAR(160),""))),0),2),
"Attention : Le montant retenu HT est supérieur au montant HT raisonnable. Merci de revoir la ligne de dépense, plafonner son montant, ou justifier la reventillation HT / TVA.",
ROUND(IFERROR(VALUE(TRIM(SUBSTITUTE(BK31,CHAR(160),""))),0),2)&gt;
ROUND(IFERROR(VALUE(TRIM(SUBSTITUTE(BH31,CHAR(160),""))),0),2),
"Attention : Le montant TVA retenu est supérieur au montant TVA raisonnable. Merci de revoir la ligne de dépense, plafonner son montant, ou justifier la reventillation HT / TVA.",
ROUND(IFERROR(VALUE(TRIM(SUBSTITUTE(BL31,CHAR(160),""))),0),2)&gt;
ROUND(IFERROR(VALUE(TRIM(SUBSTITUTE(MIN(P31,U31,Z31),CHAR(160),""))),0),2),
"Attention : Le devis retenu n'est pas le moins cher. Une justification de la part du porteur est nécessaire.",
ROUND(IFERROR(VALUE(TRIM(SUBSTITUTE(BL31,CHAR(160),""))),0),2)=0,
"Attention : montant présenté entièrement écarté",
ROUND(IFERROR(VALUE(TRIM(SUBSTITUTE(BI31,CHAR(160),""))),0),2)=
ROUND(IFERROR(VALUE(TRIM(SUBSTITUTE(BL31,CHAR(160),""))),0),2),
"OK",
ROUND(IFERROR(VALUE(TRIM(SUBSTITUTE(BI31,CHAR(160),""))),0),2)&gt;
ROUND(IFERROR(VALUE(TRIM(SUBSTITUTE(BL31,CHAR(160),""))),0),2),
" OK : Montant instruit inférieur au montant raisonnable.",
TRUE,""
))</f>
        <v/>
      </c>
      <c r="BO31" s="23" t="str" cm="1">
        <f t="array" ref="BO31">IF(OR(BL31="",AD31="",BJ31="",AB31="",BK31="",AC31=""),"",_xlfn.IFS(
ROUND(IFERROR(VALUE(TRIM(SUBSTITUTE(BL31,CHAR(160),""))),0),2)&gt;
ROUND(IFERROR(VALUE(TRIM(SUBSTITUTE(AD31,CHAR(160),""))),0),2),
"KO : Le montant retenu TTC est supérieur au montant présenté TTC. Merci de revoir la ligne de dépense ou plafonner son montant.",
ROUND(IFERROR(VALUE(TRIM(SUBSTITUTE(BJ31,CHAR(160),""))),0),2)&gt;
ROUND(IFERROR(VALUE(TRIM(SUBSTITUTE(AB31,CHAR(160),""))),0),2),
"Attention : Le montant retenu HT est supérieur au montant HT présenté. Merci de revoir la ligne de dépense, plafonner son montant, ou justifier la reventillation HT / TVA.",
ROUND(IFERROR(VALUE(TRIM(SUBSTITUTE(BK31,CHAR(160),""))),0),2)&gt;
ROUND(IFERROR(VALUE(TRIM(SUBSTITUTE(AC31,CHAR(160),""))),0),2),
"Attention : Le montant TVA retenu est supérieur au montant TVA présenté. Merci de revoir la ligne de dépense, plafonner son montant, ou justifier la reventillation HT / TVA.",
ROUND(IFERROR(VALUE(TRIM(SUBSTITUTE(AD31,CHAR(160),""))),0),2)=0,
"",
ROUND(IFERROR(VALUE(TRIM(SUBSTITUTE(BL31,CHAR(160),""))),0),2)=
ROUND(IFERROR(VALUE(TRIM(SUBSTITUTE(AD31,CHAR(160),""))),0),2),
"OK",
ROUND(IFERROR(VALUE(TRIM(SUBSTITUTE(BL31,CHAR(160),""))),0),2)=0,
"Attention : Montant présenté entièrement rejeté.",
ROUND(IFERROR(VALUE(TRIM(SUBSTITUTE(BL31,CHAR(160),""))),0),2)&lt;
ROUND(IFERROR(VALUE(TRIM(SUBSTITUTE(AD31,CHAR(160),""))),0),2),
"Attention : Montant présenté partiellement rejeté.",
TRUE,""
))</f>
        <v/>
      </c>
      <c r="BP31" s="113" t="str">
        <f t="shared" si="44"/>
        <v/>
      </c>
      <c r="BQ31" s="113" t="str">
        <f t="shared" si="45"/>
        <v/>
      </c>
      <c r="BR31" s="33" t="str">
        <f t="shared" si="46"/>
        <v/>
      </c>
    </row>
    <row r="32" spans="1:71" ht="15" customHeight="1">
      <c r="A32" s="193">
        <v>24</v>
      </c>
      <c r="B32" s="7"/>
      <c r="C32" s="7"/>
      <c r="D32" s="19"/>
      <c r="E32" s="7"/>
      <c r="F32" s="7"/>
      <c r="G32" s="7"/>
      <c r="H32" s="7"/>
      <c r="I32" s="28"/>
      <c r="J32" s="7"/>
      <c r="K32" s="29"/>
      <c r="L32" s="678"/>
      <c r="M32" s="7"/>
      <c r="N32" s="672"/>
      <c r="O32" s="11"/>
      <c r="P32" s="107" t="str">
        <f t="shared" si="48"/>
        <v/>
      </c>
      <c r="Q32" s="699"/>
      <c r="R32" s="702"/>
      <c r="S32" s="684"/>
      <c r="T32" s="11"/>
      <c r="U32" s="107" t="str">
        <f t="shared" si="49"/>
        <v/>
      </c>
      <c r="V32" s="695"/>
      <c r="W32" s="685"/>
      <c r="X32" s="707"/>
      <c r="Y32" s="684"/>
      <c r="Z32" s="108" t="str">
        <f t="shared" si="50"/>
        <v/>
      </c>
      <c r="AA32" s="25"/>
      <c r="AB32" s="287" t="str" cm="1">
        <f t="array" ref="AB32">IF((_xlfn.IFS(TRIM(SUBSTITUTE(AA32,CHAR(160),""))="Devis 1",IFERROR(VALUE(TRIM(SUBSTITUTE(N32,CHAR(160),""))),0),TRIM(SUBSTITUTE(AA32,CHAR(160),""))="Devis 2",IFERROR(VALUE(TRIM(SUBSTITUTE(S32,CHAR(160),""))),0),TRIM(SUBSTITUTE(AA32,CHAR(160),""))="Devis 3",IFERROR(VALUE(TRIM(SUBSTITUTE(X32,CHAR(160),""))),0),TRUE,0)*IFERROR(VALUE(TRIM(SUBSTITUTE(D32,CHAR(160),""))),0))=0,"",_xlfn.IFS(TRIM(SUBSTITUTE(AA32,CHAR(160),""))="Devis 1",IFERROR(VALUE(TRIM(SUBSTITUTE(N32,CHAR(160),""))),0),TRIM(SUBSTITUTE(AA32,CHAR(160),""))="Devis 2",IFERROR(VALUE(TRIM(SUBSTITUTE(S32,CHAR(160),""))),0),TRIM(SUBSTITUTE(AA32,CHAR(160),""))="Devis 3",IFERROR(VALUE(TRIM(SUBSTITUTE(X32,CHAR(160),""))),0),TRUE,0)*IFERROR(VALUE(TRIM(SUBSTITUTE(D32,CHAR(160),""))),0))</f>
        <v/>
      </c>
      <c r="AC32" s="275" t="str" cm="1">
        <f t="array" ref="AC32">IF(_xlfn.IFS(TRIM(SUBSTITUTE(AA32,CHAR(160),""))="Devis 1",IFERROR(VALUE(TRIM(SUBSTITUTE(O32,CHAR(160),""))),0),TRIM(SUBSTITUTE(AA32,CHAR(160),""))="Devis 2",IFERROR(VALUE(TRIM(SUBSTITUTE(T32,CHAR(160),""))),0),TRIM(SUBSTITUTE(AA32,CHAR(160),""))="Devis 3",IFERROR(VALUE(TRIM(SUBSTITUTE(Y32,CHAR(160),""))),0),TRUE,0)*IFERROR(VALUE(TRIM(SUBSTITUTE(D32,CHAR(160),""))),0)=0,IF(AB32&lt;&gt;"",0,""),_xlfn.IFS(TRIM(SUBSTITUTE(AA32,CHAR(160),""))="Devis 1",IFERROR(VALUE(TRIM(SUBSTITUTE(O32,CHAR(160),""))),0),TRIM(SUBSTITUTE(AA32,CHAR(160),""))="Devis 2",IFERROR(VALUE(TRIM(SUBSTITUTE(T32,CHAR(160),""))),0),TRIM(SUBSTITUTE(AA32,CHAR(160),""))="Devis 3",IFERROR(VALUE(TRIM(SUBSTITUTE(Y32,CHAR(160),""))),0),TRUE,0)*IFERROR(VALUE(TRIM(SUBSTITUTE(D32,CHAR(160),""))),0))</f>
        <v/>
      </c>
      <c r="AD32" s="285" t="str">
        <f t="shared" si="51"/>
        <v/>
      </c>
      <c r="AE32" s="26"/>
      <c r="AF32" s="109" t="str">
        <f t="shared" si="14"/>
        <v/>
      </c>
      <c r="AG32" s="109" t="str">
        <f t="shared" si="15"/>
        <v/>
      </c>
      <c r="AH32" s="885" t="str">
        <f t="shared" si="16"/>
        <v/>
      </c>
      <c r="AI32" s="109" t="str">
        <f t="shared" si="17"/>
        <v/>
      </c>
      <c r="AJ32" s="109" t="str">
        <f t="shared" si="18"/>
        <v/>
      </c>
      <c r="AK32" s="109" t="str">
        <f t="shared" si="19"/>
        <v/>
      </c>
      <c r="AL32" s="109" t="str">
        <f t="shared" si="20"/>
        <v/>
      </c>
      <c r="AM32" s="109" t="str">
        <f t="shared" si="21"/>
        <v/>
      </c>
      <c r="AN32" s="109" t="str">
        <f t="shared" si="22"/>
        <v/>
      </c>
      <c r="AO32" s="109" t="str">
        <f t="shared" si="23"/>
        <v/>
      </c>
      <c r="AP32" s="754" t="str">
        <f t="shared" si="24"/>
        <v/>
      </c>
      <c r="AQ32" s="755" t="str">
        <f t="shared" si="25"/>
        <v/>
      </c>
      <c r="AR32" s="195" t="str">
        <f t="shared" si="26"/>
        <v/>
      </c>
      <c r="AS32" s="195" t="str">
        <f t="shared" si="27"/>
        <v/>
      </c>
      <c r="AT32" s="664" t="str">
        <f t="shared" si="28"/>
        <v/>
      </c>
      <c r="AU32" s="756" t="str">
        <f t="shared" si="29"/>
        <v/>
      </c>
      <c r="AV32" s="195" t="str">
        <f t="shared" si="30"/>
        <v/>
      </c>
      <c r="AW32" s="195" t="str">
        <f t="shared" si="31"/>
        <v/>
      </c>
      <c r="AX32" s="195" t="str">
        <f t="shared" si="32"/>
        <v/>
      </c>
      <c r="AY32" s="728" t="str">
        <f t="shared" si="33"/>
        <v/>
      </c>
      <c r="AZ32" s="195" t="str">
        <f t="shared" si="34"/>
        <v/>
      </c>
      <c r="BA32" s="195" t="str">
        <f t="shared" si="35"/>
        <v/>
      </c>
      <c r="BB32" s="195" t="str">
        <f t="shared" si="36"/>
        <v/>
      </c>
      <c r="BC32" s="195" t="str">
        <f t="shared" si="37"/>
        <v/>
      </c>
      <c r="BD32" s="112" t="str">
        <f t="shared" si="38"/>
        <v/>
      </c>
      <c r="BE32" s="109" t="str">
        <f t="shared" si="39"/>
        <v/>
      </c>
      <c r="BF32" s="602"/>
      <c r="BG32" s="113" t="str">
        <f t="shared" si="40"/>
        <v/>
      </c>
      <c r="BH32" s="113" t="str">
        <f t="shared" si="41"/>
        <v/>
      </c>
      <c r="BI32" s="113" t="str">
        <f t="shared" si="42"/>
        <v/>
      </c>
      <c r="BJ32" s="281" t="str" cm="1">
        <f t="array" ref="BJ32">IF($AH32="","",
_xlfn.IFS(
$BE32="Devis 1",
IF(ISBLANK(AR32),"",IFERROR(VALUE(TRIM(SUBSTITUTE(AR32,CHAR(160),""))),0)*IFERROR(VALUE(TRIM(SUBSTITUTE($AH32,CHAR(160),""))),0)),
$BE32="Devis 2",
IF(ISBLANK(AW32),"",IFERROR(VALUE(TRIM(SUBSTITUTE(AW32,CHAR(160),""))),0)*IFERROR(VALUE(TRIM(SUBSTITUTE($AH32,CHAR(160),""))),0)),
$BE32="Devis 3",
IF(ISBLANK(BB32),"",IFERROR(VALUE(TRIM(SUBSTITUTE(BB32,CHAR(160),""))),0)*IFERROR(VALUE(TRIM(SUBSTITUTE($AH32,CHAR(160),""))),0)),
TRUE,0
)
)</f>
        <v/>
      </c>
      <c r="BK32" s="281" t="str" cm="1">
        <f t="array" ref="BK32">IF($AH32="","",
_xlfn.IFS(
$BE32="Devis 1",
IF(ISBLANK(AS32),"",IFERROR(VALUE(TRIM(SUBSTITUTE(AS32,CHAR(160),""))),0)*IFERROR(VALUE(TRIM(SUBSTITUTE($AH32,CHAR(160),""))),0)),
$BE32="Devis 2",
IF(ISBLANK(AX32),"",IFERROR(VALUE(TRIM(SUBSTITUTE(AX32,CHAR(160),""))),0)*IFERROR(VALUE(TRIM(SUBSTITUTE($AH32,CHAR(160),""))),0)),
$BE32="Devis 3",
IF(ISBLANK(BC32),"",IFERROR(VALUE(TRIM(SUBSTITUTE(BC32,CHAR(160),""))),0)*IFERROR(VALUE(TRIM(SUBSTITUTE($AH32,CHAR(160),""))),0)),
TRUE,0
)
)</f>
        <v/>
      </c>
      <c r="BL32" s="281" t="str">
        <f t="shared" si="43"/>
        <v/>
      </c>
      <c r="BM32" s="602"/>
      <c r="BN32" s="23" t="str" cm="1">
        <f t="array" ref="BN32">IF(OR(BL32="",BI32="",BJ32="",BG32="",BK32="",BH32=""),"",_xlfn.IFS(
ROUND(IFERROR(VALUE(TRIM(SUBSTITUTE(BL32,CHAR(160),""))),0),2)&gt;
ROUND(IFERROR(VALUE(TRIM(SUBSTITUTE(BI32,CHAR(160),""))),0),2),
"KO : Le montant retenu TTC est supérieur au montant raisonnable TTC. Merci de revoir la ligne de dépense ou plafonner son montant.",
ROUND(IFERROR(VALUE(TRIM(SUBSTITUTE(BJ32,CHAR(160),""))),0),2)&gt;
ROUND(IFERROR(VALUE(TRIM(SUBSTITUTE(BG32,CHAR(160),""))),0),2),
"Attention : Le montant retenu HT est supérieur au montant HT raisonnable. Merci de revoir la ligne de dépense, plafonner son montant, ou justifier la reventillation HT / TVA.",
ROUND(IFERROR(VALUE(TRIM(SUBSTITUTE(BK32,CHAR(160),""))),0),2)&gt;
ROUND(IFERROR(VALUE(TRIM(SUBSTITUTE(BH32,CHAR(160),""))),0),2),
"Attention : Le montant TVA retenu est supérieur au montant TVA raisonnable. Merci de revoir la ligne de dépense, plafonner son montant, ou justifier la reventillation HT / TVA.",
ROUND(IFERROR(VALUE(TRIM(SUBSTITUTE(BL32,CHAR(160),""))),0),2)&gt;
ROUND(IFERROR(VALUE(TRIM(SUBSTITUTE(MIN(P32,U32,Z32),CHAR(160),""))),0),2),
"Attention : Le devis retenu n'est pas le moins cher. Une justification de la part du porteur est nécessaire.",
ROUND(IFERROR(VALUE(TRIM(SUBSTITUTE(BL32,CHAR(160),""))),0),2)=0,
"Attention : montant présenté entièrement écarté",
ROUND(IFERROR(VALUE(TRIM(SUBSTITUTE(BI32,CHAR(160),""))),0),2)=
ROUND(IFERROR(VALUE(TRIM(SUBSTITUTE(BL32,CHAR(160),""))),0),2),
"OK",
ROUND(IFERROR(VALUE(TRIM(SUBSTITUTE(BI32,CHAR(160),""))),0),2)&gt;
ROUND(IFERROR(VALUE(TRIM(SUBSTITUTE(BL32,CHAR(160),""))),0),2),
" OK : Montant instruit inférieur au montant raisonnable.",
TRUE,""
))</f>
        <v/>
      </c>
      <c r="BO32" s="23" t="str" cm="1">
        <f t="array" ref="BO32">IF(OR(BL32="",AD32="",BJ32="",AB32="",BK32="",AC32=""),"",_xlfn.IFS(
ROUND(IFERROR(VALUE(TRIM(SUBSTITUTE(BL32,CHAR(160),""))),0),2)&gt;
ROUND(IFERROR(VALUE(TRIM(SUBSTITUTE(AD32,CHAR(160),""))),0),2),
"KO : Le montant retenu TTC est supérieur au montant présenté TTC. Merci de revoir la ligne de dépense ou plafonner son montant.",
ROUND(IFERROR(VALUE(TRIM(SUBSTITUTE(BJ32,CHAR(160),""))),0),2)&gt;
ROUND(IFERROR(VALUE(TRIM(SUBSTITUTE(AB32,CHAR(160),""))),0),2),
"Attention : Le montant retenu HT est supérieur au montant HT présenté. Merci de revoir la ligne de dépense, plafonner son montant, ou justifier la reventillation HT / TVA.",
ROUND(IFERROR(VALUE(TRIM(SUBSTITUTE(BK32,CHAR(160),""))),0),2)&gt;
ROUND(IFERROR(VALUE(TRIM(SUBSTITUTE(AC32,CHAR(160),""))),0),2),
"Attention : Le montant TVA retenu est supérieur au montant TVA présenté. Merci de revoir la ligne de dépense, plafonner son montant, ou justifier la reventillation HT / TVA.",
ROUND(IFERROR(VALUE(TRIM(SUBSTITUTE(AD32,CHAR(160),""))),0),2)=0,
"",
ROUND(IFERROR(VALUE(TRIM(SUBSTITUTE(BL32,CHAR(160),""))),0),2)=
ROUND(IFERROR(VALUE(TRIM(SUBSTITUTE(AD32,CHAR(160),""))),0),2),
"OK",
ROUND(IFERROR(VALUE(TRIM(SUBSTITUTE(BL32,CHAR(160),""))),0),2)=0,
"Attention : Montant présenté entièrement rejeté.",
ROUND(IFERROR(VALUE(TRIM(SUBSTITUTE(BL32,CHAR(160),""))),0),2)&lt;
ROUND(IFERROR(VALUE(TRIM(SUBSTITUTE(AD32,CHAR(160),""))),0),2),
"Attention : Montant présenté partiellement rejeté.",
TRUE,""
))</f>
        <v/>
      </c>
      <c r="BP32" s="113" t="str">
        <f t="shared" si="44"/>
        <v/>
      </c>
      <c r="BQ32" s="113" t="str">
        <f t="shared" si="45"/>
        <v/>
      </c>
      <c r="BR32" s="33" t="str">
        <f t="shared" si="46"/>
        <v/>
      </c>
    </row>
    <row r="33" spans="1:70" ht="15" customHeight="1">
      <c r="A33" s="193">
        <v>25</v>
      </c>
      <c r="B33" s="7"/>
      <c r="C33" s="7"/>
      <c r="D33" s="19"/>
      <c r="E33" s="7"/>
      <c r="F33" s="7"/>
      <c r="G33" s="7"/>
      <c r="H33" s="7"/>
      <c r="I33" s="28"/>
      <c r="J33" s="7"/>
      <c r="K33" s="29"/>
      <c r="L33" s="678"/>
      <c r="M33" s="7"/>
      <c r="N33" s="672"/>
      <c r="O33" s="11"/>
      <c r="P33" s="107" t="str">
        <f t="shared" si="48"/>
        <v/>
      </c>
      <c r="Q33" s="699"/>
      <c r="R33" s="702"/>
      <c r="S33" s="684"/>
      <c r="T33" s="11"/>
      <c r="U33" s="107" t="str">
        <f t="shared" si="49"/>
        <v/>
      </c>
      <c r="V33" s="695"/>
      <c r="W33" s="685"/>
      <c r="X33" s="707"/>
      <c r="Y33" s="684"/>
      <c r="Z33" s="108" t="str">
        <f t="shared" si="50"/>
        <v/>
      </c>
      <c r="AA33" s="25"/>
      <c r="AB33" s="287" t="str" cm="1">
        <f t="array" ref="AB33">IF((_xlfn.IFS(TRIM(SUBSTITUTE(AA33,CHAR(160),""))="Devis 1",IFERROR(VALUE(TRIM(SUBSTITUTE(N33,CHAR(160),""))),0),TRIM(SUBSTITUTE(AA33,CHAR(160),""))="Devis 2",IFERROR(VALUE(TRIM(SUBSTITUTE(S33,CHAR(160),""))),0),TRIM(SUBSTITUTE(AA33,CHAR(160),""))="Devis 3",IFERROR(VALUE(TRIM(SUBSTITUTE(X33,CHAR(160),""))),0),TRUE,0)*IFERROR(VALUE(TRIM(SUBSTITUTE(D33,CHAR(160),""))),0))=0,"",_xlfn.IFS(TRIM(SUBSTITUTE(AA33,CHAR(160),""))="Devis 1",IFERROR(VALUE(TRIM(SUBSTITUTE(N33,CHAR(160),""))),0),TRIM(SUBSTITUTE(AA33,CHAR(160),""))="Devis 2",IFERROR(VALUE(TRIM(SUBSTITUTE(S33,CHAR(160),""))),0),TRIM(SUBSTITUTE(AA33,CHAR(160),""))="Devis 3",IFERROR(VALUE(TRIM(SUBSTITUTE(X33,CHAR(160),""))),0),TRUE,0)*IFERROR(VALUE(TRIM(SUBSTITUTE(D33,CHAR(160),""))),0))</f>
        <v/>
      </c>
      <c r="AC33" s="275" t="str" cm="1">
        <f t="array" ref="AC33">IF(_xlfn.IFS(TRIM(SUBSTITUTE(AA33,CHAR(160),""))="Devis 1",IFERROR(VALUE(TRIM(SUBSTITUTE(O33,CHAR(160),""))),0),TRIM(SUBSTITUTE(AA33,CHAR(160),""))="Devis 2",IFERROR(VALUE(TRIM(SUBSTITUTE(T33,CHAR(160),""))),0),TRIM(SUBSTITUTE(AA33,CHAR(160),""))="Devis 3",IFERROR(VALUE(TRIM(SUBSTITUTE(Y33,CHAR(160),""))),0),TRUE,0)*IFERROR(VALUE(TRIM(SUBSTITUTE(D33,CHAR(160),""))),0)=0,IF(AB33&lt;&gt;"",0,""),_xlfn.IFS(TRIM(SUBSTITUTE(AA33,CHAR(160),""))="Devis 1",IFERROR(VALUE(TRIM(SUBSTITUTE(O33,CHAR(160),""))),0),TRIM(SUBSTITUTE(AA33,CHAR(160),""))="Devis 2",IFERROR(VALUE(TRIM(SUBSTITUTE(T33,CHAR(160),""))),0),TRIM(SUBSTITUTE(AA33,CHAR(160),""))="Devis 3",IFERROR(VALUE(TRIM(SUBSTITUTE(Y33,CHAR(160),""))),0),TRUE,0)*IFERROR(VALUE(TRIM(SUBSTITUTE(D33,CHAR(160),""))),0))</f>
        <v/>
      </c>
      <c r="AD33" s="285" t="str">
        <f t="shared" si="51"/>
        <v/>
      </c>
      <c r="AE33" s="26"/>
      <c r="AF33" s="109" t="str">
        <f t="shared" si="14"/>
        <v/>
      </c>
      <c r="AG33" s="109" t="str">
        <f t="shared" si="15"/>
        <v/>
      </c>
      <c r="AH33" s="885" t="str">
        <f t="shared" si="16"/>
        <v/>
      </c>
      <c r="AI33" s="109" t="str">
        <f t="shared" si="17"/>
        <v/>
      </c>
      <c r="AJ33" s="109" t="str">
        <f t="shared" si="18"/>
        <v/>
      </c>
      <c r="AK33" s="109" t="str">
        <f t="shared" si="19"/>
        <v/>
      </c>
      <c r="AL33" s="109" t="str">
        <f t="shared" si="20"/>
        <v/>
      </c>
      <c r="AM33" s="109" t="str">
        <f t="shared" si="21"/>
        <v/>
      </c>
      <c r="AN33" s="109" t="str">
        <f t="shared" si="22"/>
        <v/>
      </c>
      <c r="AO33" s="109" t="str">
        <f t="shared" si="23"/>
        <v/>
      </c>
      <c r="AP33" s="754" t="str">
        <f t="shared" si="24"/>
        <v/>
      </c>
      <c r="AQ33" s="755" t="str">
        <f t="shared" si="25"/>
        <v/>
      </c>
      <c r="AR33" s="195" t="str">
        <f t="shared" si="26"/>
        <v/>
      </c>
      <c r="AS33" s="195" t="str">
        <f t="shared" si="27"/>
        <v/>
      </c>
      <c r="AT33" s="664" t="str">
        <f t="shared" si="28"/>
        <v/>
      </c>
      <c r="AU33" s="756" t="str">
        <f t="shared" si="29"/>
        <v/>
      </c>
      <c r="AV33" s="195" t="str">
        <f t="shared" si="30"/>
        <v/>
      </c>
      <c r="AW33" s="195" t="str">
        <f t="shared" si="31"/>
        <v/>
      </c>
      <c r="AX33" s="195" t="str">
        <f t="shared" si="32"/>
        <v/>
      </c>
      <c r="AY33" s="728" t="str">
        <f t="shared" si="33"/>
        <v/>
      </c>
      <c r="AZ33" s="195" t="str">
        <f t="shared" si="34"/>
        <v/>
      </c>
      <c r="BA33" s="195" t="str">
        <f t="shared" si="35"/>
        <v/>
      </c>
      <c r="BB33" s="195" t="str">
        <f t="shared" si="36"/>
        <v/>
      </c>
      <c r="BC33" s="195" t="str">
        <f t="shared" si="37"/>
        <v/>
      </c>
      <c r="BD33" s="112" t="str">
        <f t="shared" si="38"/>
        <v/>
      </c>
      <c r="BE33" s="109" t="str">
        <f t="shared" si="39"/>
        <v/>
      </c>
      <c r="BF33" s="602"/>
      <c r="BG33" s="113" t="str">
        <f t="shared" si="40"/>
        <v/>
      </c>
      <c r="BH33" s="113" t="str">
        <f t="shared" si="41"/>
        <v/>
      </c>
      <c r="BI33" s="113" t="str">
        <f t="shared" si="42"/>
        <v/>
      </c>
      <c r="BJ33" s="281" t="str" cm="1">
        <f t="array" ref="BJ33">IF($AH33="","",
_xlfn.IFS(
$BE33="Devis 1",
IF(ISBLANK(AR33),"",IFERROR(VALUE(TRIM(SUBSTITUTE(AR33,CHAR(160),""))),0)*IFERROR(VALUE(TRIM(SUBSTITUTE($AH33,CHAR(160),""))),0)),
$BE33="Devis 2",
IF(ISBLANK(AW33),"",IFERROR(VALUE(TRIM(SUBSTITUTE(AW33,CHAR(160),""))),0)*IFERROR(VALUE(TRIM(SUBSTITUTE($AH33,CHAR(160),""))),0)),
$BE33="Devis 3",
IF(ISBLANK(BB33),"",IFERROR(VALUE(TRIM(SUBSTITUTE(BB33,CHAR(160),""))),0)*IFERROR(VALUE(TRIM(SUBSTITUTE($AH33,CHAR(160),""))),0)),
TRUE,0
)
)</f>
        <v/>
      </c>
      <c r="BK33" s="281" t="str" cm="1">
        <f t="array" ref="BK33">IF($AH33="","",
_xlfn.IFS(
$BE33="Devis 1",
IF(ISBLANK(AS33),"",IFERROR(VALUE(TRIM(SUBSTITUTE(AS33,CHAR(160),""))),0)*IFERROR(VALUE(TRIM(SUBSTITUTE($AH33,CHAR(160),""))),0)),
$BE33="Devis 2",
IF(ISBLANK(AX33),"",IFERROR(VALUE(TRIM(SUBSTITUTE(AX33,CHAR(160),""))),0)*IFERROR(VALUE(TRIM(SUBSTITUTE($AH33,CHAR(160),""))),0)),
$BE33="Devis 3",
IF(ISBLANK(BC33),"",IFERROR(VALUE(TRIM(SUBSTITUTE(BC33,CHAR(160),""))),0)*IFERROR(VALUE(TRIM(SUBSTITUTE($AH33,CHAR(160),""))),0)),
TRUE,0
)
)</f>
        <v/>
      </c>
      <c r="BL33" s="281" t="str">
        <f t="shared" si="43"/>
        <v/>
      </c>
      <c r="BM33" s="602"/>
      <c r="BN33" s="23" t="str" cm="1">
        <f t="array" ref="BN33">IF(OR(BL33="",BI33="",BJ33="",BG33="",BK33="",BH33=""),"",_xlfn.IFS(
ROUND(IFERROR(VALUE(TRIM(SUBSTITUTE(BL33,CHAR(160),""))),0),2)&gt;
ROUND(IFERROR(VALUE(TRIM(SUBSTITUTE(BI33,CHAR(160),""))),0),2),
"KO : Le montant retenu TTC est supérieur au montant raisonnable TTC. Merci de revoir la ligne de dépense ou plafonner son montant.",
ROUND(IFERROR(VALUE(TRIM(SUBSTITUTE(BJ33,CHAR(160),""))),0),2)&gt;
ROUND(IFERROR(VALUE(TRIM(SUBSTITUTE(BG33,CHAR(160),""))),0),2),
"Attention : Le montant retenu HT est supérieur au montant HT raisonnable. Merci de revoir la ligne de dépense, plafonner son montant, ou justifier la reventillation HT / TVA.",
ROUND(IFERROR(VALUE(TRIM(SUBSTITUTE(BK33,CHAR(160),""))),0),2)&gt;
ROUND(IFERROR(VALUE(TRIM(SUBSTITUTE(BH33,CHAR(160),""))),0),2),
"Attention : Le montant TVA retenu est supérieur au montant TVA raisonnable. Merci de revoir la ligne de dépense, plafonner son montant, ou justifier la reventillation HT / TVA.",
ROUND(IFERROR(VALUE(TRIM(SUBSTITUTE(BL33,CHAR(160),""))),0),2)&gt;
ROUND(IFERROR(VALUE(TRIM(SUBSTITUTE(MIN(P33,U33,Z33),CHAR(160),""))),0),2),
"Attention : Le devis retenu n'est pas le moins cher. Une justification de la part du porteur est nécessaire.",
ROUND(IFERROR(VALUE(TRIM(SUBSTITUTE(BL33,CHAR(160),""))),0),2)=0,
"Attention : montant présenté entièrement écarté",
ROUND(IFERROR(VALUE(TRIM(SUBSTITUTE(BI33,CHAR(160),""))),0),2)=
ROUND(IFERROR(VALUE(TRIM(SUBSTITUTE(BL33,CHAR(160),""))),0),2),
"OK",
ROUND(IFERROR(VALUE(TRIM(SUBSTITUTE(BI33,CHAR(160),""))),0),2)&gt;
ROUND(IFERROR(VALUE(TRIM(SUBSTITUTE(BL33,CHAR(160),""))),0),2),
" OK : Montant instruit inférieur au montant raisonnable.",
TRUE,""
))</f>
        <v/>
      </c>
      <c r="BO33" s="23" t="str" cm="1">
        <f t="array" ref="BO33">IF(OR(BL33="",AD33="",BJ33="",AB33="",BK33="",AC33=""),"",_xlfn.IFS(
ROUND(IFERROR(VALUE(TRIM(SUBSTITUTE(BL33,CHAR(160),""))),0),2)&gt;
ROUND(IFERROR(VALUE(TRIM(SUBSTITUTE(AD33,CHAR(160),""))),0),2),
"KO : Le montant retenu TTC est supérieur au montant présenté TTC. Merci de revoir la ligne de dépense ou plafonner son montant.",
ROUND(IFERROR(VALUE(TRIM(SUBSTITUTE(BJ33,CHAR(160),""))),0),2)&gt;
ROUND(IFERROR(VALUE(TRIM(SUBSTITUTE(AB33,CHAR(160),""))),0),2),
"Attention : Le montant retenu HT est supérieur au montant HT présenté. Merci de revoir la ligne de dépense, plafonner son montant, ou justifier la reventillation HT / TVA.",
ROUND(IFERROR(VALUE(TRIM(SUBSTITUTE(BK33,CHAR(160),""))),0),2)&gt;
ROUND(IFERROR(VALUE(TRIM(SUBSTITUTE(AC33,CHAR(160),""))),0),2),
"Attention : Le montant TVA retenu est supérieur au montant TVA présenté. Merci de revoir la ligne de dépense, plafonner son montant, ou justifier la reventillation HT / TVA.",
ROUND(IFERROR(VALUE(TRIM(SUBSTITUTE(AD33,CHAR(160),""))),0),2)=0,
"",
ROUND(IFERROR(VALUE(TRIM(SUBSTITUTE(BL33,CHAR(160),""))),0),2)=
ROUND(IFERROR(VALUE(TRIM(SUBSTITUTE(AD33,CHAR(160),""))),0),2),
"OK",
ROUND(IFERROR(VALUE(TRIM(SUBSTITUTE(BL33,CHAR(160),""))),0),2)=0,
"Attention : Montant présenté entièrement rejeté.",
ROUND(IFERROR(VALUE(TRIM(SUBSTITUTE(BL33,CHAR(160),""))),0),2)&lt;
ROUND(IFERROR(VALUE(TRIM(SUBSTITUTE(AD33,CHAR(160),""))),0),2),
"Attention : Montant présenté partiellement rejeté.",
TRUE,""
))</f>
        <v/>
      </c>
      <c r="BP33" s="113" t="str">
        <f t="shared" si="44"/>
        <v/>
      </c>
      <c r="BQ33" s="113" t="str">
        <f t="shared" si="45"/>
        <v/>
      </c>
      <c r="BR33" s="33" t="str">
        <f t="shared" si="46"/>
        <v/>
      </c>
    </row>
    <row r="34" spans="1:70" ht="15" customHeight="1">
      <c r="A34" s="193">
        <v>26</v>
      </c>
      <c r="B34" s="7"/>
      <c r="C34" s="7"/>
      <c r="D34" s="19"/>
      <c r="E34" s="7"/>
      <c r="F34" s="7"/>
      <c r="G34" s="7"/>
      <c r="H34" s="7"/>
      <c r="I34" s="28"/>
      <c r="J34" s="7"/>
      <c r="K34" s="29"/>
      <c r="L34" s="678"/>
      <c r="M34" s="7"/>
      <c r="N34" s="672"/>
      <c r="O34" s="11"/>
      <c r="P34" s="107" t="str">
        <f t="shared" si="48"/>
        <v/>
      </c>
      <c r="Q34" s="699"/>
      <c r="R34" s="702"/>
      <c r="S34" s="684"/>
      <c r="T34" s="11"/>
      <c r="U34" s="107" t="str">
        <f t="shared" si="49"/>
        <v/>
      </c>
      <c r="V34" s="695"/>
      <c r="W34" s="685"/>
      <c r="X34" s="707"/>
      <c r="Y34" s="684"/>
      <c r="Z34" s="108" t="str">
        <f t="shared" si="50"/>
        <v/>
      </c>
      <c r="AA34" s="25"/>
      <c r="AB34" s="287" t="str" cm="1">
        <f t="array" ref="AB34">IF((_xlfn.IFS(TRIM(SUBSTITUTE(AA34,CHAR(160),""))="Devis 1",IFERROR(VALUE(TRIM(SUBSTITUTE(N34,CHAR(160),""))),0),TRIM(SUBSTITUTE(AA34,CHAR(160),""))="Devis 2",IFERROR(VALUE(TRIM(SUBSTITUTE(S34,CHAR(160),""))),0),TRIM(SUBSTITUTE(AA34,CHAR(160),""))="Devis 3",IFERROR(VALUE(TRIM(SUBSTITUTE(X34,CHAR(160),""))),0),TRUE,0)*IFERROR(VALUE(TRIM(SUBSTITUTE(D34,CHAR(160),""))),0))=0,"",_xlfn.IFS(TRIM(SUBSTITUTE(AA34,CHAR(160),""))="Devis 1",IFERROR(VALUE(TRIM(SUBSTITUTE(N34,CHAR(160),""))),0),TRIM(SUBSTITUTE(AA34,CHAR(160),""))="Devis 2",IFERROR(VALUE(TRIM(SUBSTITUTE(S34,CHAR(160),""))),0),TRIM(SUBSTITUTE(AA34,CHAR(160),""))="Devis 3",IFERROR(VALUE(TRIM(SUBSTITUTE(X34,CHAR(160),""))),0),TRUE,0)*IFERROR(VALUE(TRIM(SUBSTITUTE(D34,CHAR(160),""))),0))</f>
        <v/>
      </c>
      <c r="AC34" s="275" t="str" cm="1">
        <f t="array" ref="AC34">IF(_xlfn.IFS(TRIM(SUBSTITUTE(AA34,CHAR(160),""))="Devis 1",IFERROR(VALUE(TRIM(SUBSTITUTE(O34,CHAR(160),""))),0),TRIM(SUBSTITUTE(AA34,CHAR(160),""))="Devis 2",IFERROR(VALUE(TRIM(SUBSTITUTE(T34,CHAR(160),""))),0),TRIM(SUBSTITUTE(AA34,CHAR(160),""))="Devis 3",IFERROR(VALUE(TRIM(SUBSTITUTE(Y34,CHAR(160),""))),0),TRUE,0)*IFERROR(VALUE(TRIM(SUBSTITUTE(D34,CHAR(160),""))),0)=0,IF(AB34&lt;&gt;"",0,""),_xlfn.IFS(TRIM(SUBSTITUTE(AA34,CHAR(160),""))="Devis 1",IFERROR(VALUE(TRIM(SUBSTITUTE(O34,CHAR(160),""))),0),TRIM(SUBSTITUTE(AA34,CHAR(160),""))="Devis 2",IFERROR(VALUE(TRIM(SUBSTITUTE(T34,CHAR(160),""))),0),TRIM(SUBSTITUTE(AA34,CHAR(160),""))="Devis 3",IFERROR(VALUE(TRIM(SUBSTITUTE(Y34,CHAR(160),""))),0),TRUE,0)*IFERROR(VALUE(TRIM(SUBSTITUTE(D34,CHAR(160),""))),0))</f>
        <v/>
      </c>
      <c r="AD34" s="285" t="str">
        <f t="shared" si="51"/>
        <v/>
      </c>
      <c r="AE34" s="26"/>
      <c r="AF34" s="109" t="str">
        <f t="shared" si="14"/>
        <v/>
      </c>
      <c r="AG34" s="109" t="str">
        <f t="shared" si="15"/>
        <v/>
      </c>
      <c r="AH34" s="885" t="str">
        <f t="shared" si="16"/>
        <v/>
      </c>
      <c r="AI34" s="109" t="str">
        <f t="shared" si="17"/>
        <v/>
      </c>
      <c r="AJ34" s="109" t="str">
        <f t="shared" si="18"/>
        <v/>
      </c>
      <c r="AK34" s="109" t="str">
        <f t="shared" si="19"/>
        <v/>
      </c>
      <c r="AL34" s="109" t="str">
        <f t="shared" si="20"/>
        <v/>
      </c>
      <c r="AM34" s="109" t="str">
        <f t="shared" si="21"/>
        <v/>
      </c>
      <c r="AN34" s="109" t="str">
        <f t="shared" si="22"/>
        <v/>
      </c>
      <c r="AO34" s="109" t="str">
        <f t="shared" si="23"/>
        <v/>
      </c>
      <c r="AP34" s="754" t="str">
        <f t="shared" si="24"/>
        <v/>
      </c>
      <c r="AQ34" s="755" t="str">
        <f t="shared" si="25"/>
        <v/>
      </c>
      <c r="AR34" s="195" t="str">
        <f t="shared" si="26"/>
        <v/>
      </c>
      <c r="AS34" s="195" t="str">
        <f t="shared" si="27"/>
        <v/>
      </c>
      <c r="AT34" s="664" t="str">
        <f t="shared" si="28"/>
        <v/>
      </c>
      <c r="AU34" s="756" t="str">
        <f t="shared" si="29"/>
        <v/>
      </c>
      <c r="AV34" s="195" t="str">
        <f t="shared" si="30"/>
        <v/>
      </c>
      <c r="AW34" s="195" t="str">
        <f t="shared" si="31"/>
        <v/>
      </c>
      <c r="AX34" s="195" t="str">
        <f t="shared" si="32"/>
        <v/>
      </c>
      <c r="AY34" s="728" t="str">
        <f t="shared" si="33"/>
        <v/>
      </c>
      <c r="AZ34" s="195" t="str">
        <f t="shared" si="34"/>
        <v/>
      </c>
      <c r="BA34" s="195" t="str">
        <f t="shared" si="35"/>
        <v/>
      </c>
      <c r="BB34" s="195" t="str">
        <f t="shared" si="36"/>
        <v/>
      </c>
      <c r="BC34" s="195" t="str">
        <f t="shared" si="37"/>
        <v/>
      </c>
      <c r="BD34" s="112" t="str">
        <f t="shared" si="38"/>
        <v/>
      </c>
      <c r="BE34" s="109" t="str">
        <f t="shared" si="39"/>
        <v/>
      </c>
      <c r="BF34" s="602"/>
      <c r="BG34" s="113" t="str">
        <f t="shared" si="40"/>
        <v/>
      </c>
      <c r="BH34" s="113" t="str">
        <f t="shared" si="41"/>
        <v/>
      </c>
      <c r="BI34" s="113" t="str">
        <f t="shared" si="42"/>
        <v/>
      </c>
      <c r="BJ34" s="281" t="str" cm="1">
        <f t="array" ref="BJ34">IF($AH34="","",
_xlfn.IFS(
$BE34="Devis 1",
IF(ISBLANK(AR34),"",IFERROR(VALUE(TRIM(SUBSTITUTE(AR34,CHAR(160),""))),0)*IFERROR(VALUE(TRIM(SUBSTITUTE($AH34,CHAR(160),""))),0)),
$BE34="Devis 2",
IF(ISBLANK(AW34),"",IFERROR(VALUE(TRIM(SUBSTITUTE(AW34,CHAR(160),""))),0)*IFERROR(VALUE(TRIM(SUBSTITUTE($AH34,CHAR(160),""))),0)),
$BE34="Devis 3",
IF(ISBLANK(BB34),"",IFERROR(VALUE(TRIM(SUBSTITUTE(BB34,CHAR(160),""))),0)*IFERROR(VALUE(TRIM(SUBSTITUTE($AH34,CHAR(160),""))),0)),
TRUE,0
)
)</f>
        <v/>
      </c>
      <c r="BK34" s="281" t="str" cm="1">
        <f t="array" ref="BK34">IF($AH34="","",
_xlfn.IFS(
$BE34="Devis 1",
IF(ISBLANK(AS34),"",IFERROR(VALUE(TRIM(SUBSTITUTE(AS34,CHAR(160),""))),0)*IFERROR(VALUE(TRIM(SUBSTITUTE($AH34,CHAR(160),""))),0)),
$BE34="Devis 2",
IF(ISBLANK(AX34),"",IFERROR(VALUE(TRIM(SUBSTITUTE(AX34,CHAR(160),""))),0)*IFERROR(VALUE(TRIM(SUBSTITUTE($AH34,CHAR(160),""))),0)),
$BE34="Devis 3",
IF(ISBLANK(BC34),"",IFERROR(VALUE(TRIM(SUBSTITUTE(BC34,CHAR(160),""))),0)*IFERROR(VALUE(TRIM(SUBSTITUTE($AH34,CHAR(160),""))),0)),
TRUE,0
)
)</f>
        <v/>
      </c>
      <c r="BL34" s="281" t="str">
        <f t="shared" si="43"/>
        <v/>
      </c>
      <c r="BM34" s="602"/>
      <c r="BN34" s="23" t="str" cm="1">
        <f t="array" ref="BN34">IF(OR(BL34="",BI34="",BJ34="",BG34="",BK34="",BH34=""),"",_xlfn.IFS(
ROUND(IFERROR(VALUE(TRIM(SUBSTITUTE(BL34,CHAR(160),""))),0),2)&gt;
ROUND(IFERROR(VALUE(TRIM(SUBSTITUTE(BI34,CHAR(160),""))),0),2),
"KO : Le montant retenu TTC est supérieur au montant raisonnable TTC. Merci de revoir la ligne de dépense ou plafonner son montant.",
ROUND(IFERROR(VALUE(TRIM(SUBSTITUTE(BJ34,CHAR(160),""))),0),2)&gt;
ROUND(IFERROR(VALUE(TRIM(SUBSTITUTE(BG34,CHAR(160),""))),0),2),
"Attention : Le montant retenu HT est supérieur au montant HT raisonnable. Merci de revoir la ligne de dépense, plafonner son montant, ou justifier la reventillation HT / TVA.",
ROUND(IFERROR(VALUE(TRIM(SUBSTITUTE(BK34,CHAR(160),""))),0),2)&gt;
ROUND(IFERROR(VALUE(TRIM(SUBSTITUTE(BH34,CHAR(160),""))),0),2),
"Attention : Le montant TVA retenu est supérieur au montant TVA raisonnable. Merci de revoir la ligne de dépense, plafonner son montant, ou justifier la reventillation HT / TVA.",
ROUND(IFERROR(VALUE(TRIM(SUBSTITUTE(BL34,CHAR(160),""))),0),2)&gt;
ROUND(IFERROR(VALUE(TRIM(SUBSTITUTE(MIN(P34,U34,Z34),CHAR(160),""))),0),2),
"Attention : Le devis retenu n'est pas le moins cher. Une justification de la part du porteur est nécessaire.",
ROUND(IFERROR(VALUE(TRIM(SUBSTITUTE(BL34,CHAR(160),""))),0),2)=0,
"Attention : montant présenté entièrement écarté",
ROUND(IFERROR(VALUE(TRIM(SUBSTITUTE(BI34,CHAR(160),""))),0),2)=
ROUND(IFERROR(VALUE(TRIM(SUBSTITUTE(BL34,CHAR(160),""))),0),2),
"OK",
ROUND(IFERROR(VALUE(TRIM(SUBSTITUTE(BI34,CHAR(160),""))),0),2)&gt;
ROUND(IFERROR(VALUE(TRIM(SUBSTITUTE(BL34,CHAR(160),""))),0),2),
" OK : Montant instruit inférieur au montant raisonnable.",
TRUE,""
))</f>
        <v/>
      </c>
      <c r="BO34" s="23" t="str" cm="1">
        <f t="array" ref="BO34">IF(OR(BL34="",AD34="",BJ34="",AB34="",BK34="",AC34=""),"",_xlfn.IFS(
ROUND(IFERROR(VALUE(TRIM(SUBSTITUTE(BL34,CHAR(160),""))),0),2)&gt;
ROUND(IFERROR(VALUE(TRIM(SUBSTITUTE(AD34,CHAR(160),""))),0),2),
"KO : Le montant retenu TTC est supérieur au montant présenté TTC. Merci de revoir la ligne de dépense ou plafonner son montant.",
ROUND(IFERROR(VALUE(TRIM(SUBSTITUTE(BJ34,CHAR(160),""))),0),2)&gt;
ROUND(IFERROR(VALUE(TRIM(SUBSTITUTE(AB34,CHAR(160),""))),0),2),
"Attention : Le montant retenu HT est supérieur au montant HT présenté. Merci de revoir la ligne de dépense, plafonner son montant, ou justifier la reventillation HT / TVA.",
ROUND(IFERROR(VALUE(TRIM(SUBSTITUTE(BK34,CHAR(160),""))),0),2)&gt;
ROUND(IFERROR(VALUE(TRIM(SUBSTITUTE(AC34,CHAR(160),""))),0),2),
"Attention : Le montant TVA retenu est supérieur au montant TVA présenté. Merci de revoir la ligne de dépense, plafonner son montant, ou justifier la reventillation HT / TVA.",
ROUND(IFERROR(VALUE(TRIM(SUBSTITUTE(AD34,CHAR(160),""))),0),2)=0,
"",
ROUND(IFERROR(VALUE(TRIM(SUBSTITUTE(BL34,CHAR(160),""))),0),2)=
ROUND(IFERROR(VALUE(TRIM(SUBSTITUTE(AD34,CHAR(160),""))),0),2),
"OK",
ROUND(IFERROR(VALUE(TRIM(SUBSTITUTE(BL34,CHAR(160),""))),0),2)=0,
"Attention : Montant présenté entièrement rejeté.",
ROUND(IFERROR(VALUE(TRIM(SUBSTITUTE(BL34,CHAR(160),""))),0),2)&lt;
ROUND(IFERROR(VALUE(TRIM(SUBSTITUTE(AD34,CHAR(160),""))),0),2),
"Attention : Montant présenté partiellement rejeté.",
TRUE,""
))</f>
        <v/>
      </c>
      <c r="BP34" s="113" t="str">
        <f t="shared" si="44"/>
        <v/>
      </c>
      <c r="BQ34" s="113" t="str">
        <f t="shared" si="45"/>
        <v/>
      </c>
      <c r="BR34" s="33" t="str">
        <f t="shared" si="46"/>
        <v/>
      </c>
    </row>
    <row r="35" spans="1:70" ht="15" customHeight="1">
      <c r="A35" s="193">
        <v>27</v>
      </c>
      <c r="B35" s="7"/>
      <c r="C35" s="7"/>
      <c r="D35" s="19"/>
      <c r="E35" s="7"/>
      <c r="F35" s="7"/>
      <c r="G35" s="7"/>
      <c r="H35" s="7"/>
      <c r="I35" s="28"/>
      <c r="J35" s="7"/>
      <c r="K35" s="29"/>
      <c r="L35" s="678"/>
      <c r="M35" s="7"/>
      <c r="N35" s="672"/>
      <c r="O35" s="11"/>
      <c r="P35" s="107" t="str">
        <f t="shared" si="48"/>
        <v/>
      </c>
      <c r="Q35" s="699"/>
      <c r="R35" s="702"/>
      <c r="S35" s="684"/>
      <c r="T35" s="11"/>
      <c r="U35" s="107" t="str">
        <f t="shared" si="49"/>
        <v/>
      </c>
      <c r="V35" s="695"/>
      <c r="W35" s="685"/>
      <c r="X35" s="707"/>
      <c r="Y35" s="684"/>
      <c r="Z35" s="108" t="str">
        <f t="shared" si="50"/>
        <v/>
      </c>
      <c r="AA35" s="25"/>
      <c r="AB35" s="287" t="str" cm="1">
        <f t="array" ref="AB35">IF((_xlfn.IFS(TRIM(SUBSTITUTE(AA35,CHAR(160),""))="Devis 1",IFERROR(VALUE(TRIM(SUBSTITUTE(N35,CHAR(160),""))),0),TRIM(SUBSTITUTE(AA35,CHAR(160),""))="Devis 2",IFERROR(VALUE(TRIM(SUBSTITUTE(S35,CHAR(160),""))),0),TRIM(SUBSTITUTE(AA35,CHAR(160),""))="Devis 3",IFERROR(VALUE(TRIM(SUBSTITUTE(X35,CHAR(160),""))),0),TRUE,0)*IFERROR(VALUE(TRIM(SUBSTITUTE(D35,CHAR(160),""))),0))=0,"",_xlfn.IFS(TRIM(SUBSTITUTE(AA35,CHAR(160),""))="Devis 1",IFERROR(VALUE(TRIM(SUBSTITUTE(N35,CHAR(160),""))),0),TRIM(SUBSTITUTE(AA35,CHAR(160),""))="Devis 2",IFERROR(VALUE(TRIM(SUBSTITUTE(S35,CHAR(160),""))),0),TRIM(SUBSTITUTE(AA35,CHAR(160),""))="Devis 3",IFERROR(VALUE(TRIM(SUBSTITUTE(X35,CHAR(160),""))),0),TRUE,0)*IFERROR(VALUE(TRIM(SUBSTITUTE(D35,CHAR(160),""))),0))</f>
        <v/>
      </c>
      <c r="AC35" s="275" t="str" cm="1">
        <f t="array" ref="AC35">IF(_xlfn.IFS(TRIM(SUBSTITUTE(AA35,CHAR(160),""))="Devis 1",IFERROR(VALUE(TRIM(SUBSTITUTE(O35,CHAR(160),""))),0),TRIM(SUBSTITUTE(AA35,CHAR(160),""))="Devis 2",IFERROR(VALUE(TRIM(SUBSTITUTE(T35,CHAR(160),""))),0),TRIM(SUBSTITUTE(AA35,CHAR(160),""))="Devis 3",IFERROR(VALUE(TRIM(SUBSTITUTE(Y35,CHAR(160),""))),0),TRUE,0)*IFERROR(VALUE(TRIM(SUBSTITUTE(D35,CHAR(160),""))),0)=0,IF(AB35&lt;&gt;"",0,""),_xlfn.IFS(TRIM(SUBSTITUTE(AA35,CHAR(160),""))="Devis 1",IFERROR(VALUE(TRIM(SUBSTITUTE(O35,CHAR(160),""))),0),TRIM(SUBSTITUTE(AA35,CHAR(160),""))="Devis 2",IFERROR(VALUE(TRIM(SUBSTITUTE(T35,CHAR(160),""))),0),TRIM(SUBSTITUTE(AA35,CHAR(160),""))="Devis 3",IFERROR(VALUE(TRIM(SUBSTITUTE(Y35,CHAR(160),""))),0),TRUE,0)*IFERROR(VALUE(TRIM(SUBSTITUTE(D35,CHAR(160),""))),0))</f>
        <v/>
      </c>
      <c r="AD35" s="285" t="str">
        <f t="shared" si="51"/>
        <v/>
      </c>
      <c r="AE35" s="26"/>
      <c r="AF35" s="109" t="str">
        <f t="shared" si="14"/>
        <v/>
      </c>
      <c r="AG35" s="109" t="str">
        <f t="shared" si="15"/>
        <v/>
      </c>
      <c r="AH35" s="885" t="str">
        <f t="shared" si="16"/>
        <v/>
      </c>
      <c r="AI35" s="109" t="str">
        <f t="shared" si="17"/>
        <v/>
      </c>
      <c r="AJ35" s="109" t="str">
        <f t="shared" si="18"/>
        <v/>
      </c>
      <c r="AK35" s="109" t="str">
        <f t="shared" si="19"/>
        <v/>
      </c>
      <c r="AL35" s="109" t="str">
        <f t="shared" si="20"/>
        <v/>
      </c>
      <c r="AM35" s="109" t="str">
        <f t="shared" si="21"/>
        <v/>
      </c>
      <c r="AN35" s="109" t="str">
        <f t="shared" si="22"/>
        <v/>
      </c>
      <c r="AO35" s="109" t="str">
        <f t="shared" si="23"/>
        <v/>
      </c>
      <c r="AP35" s="754" t="str">
        <f t="shared" si="24"/>
        <v/>
      </c>
      <c r="AQ35" s="755" t="str">
        <f t="shared" si="25"/>
        <v/>
      </c>
      <c r="AR35" s="195" t="str">
        <f t="shared" si="26"/>
        <v/>
      </c>
      <c r="AS35" s="195" t="str">
        <f t="shared" si="27"/>
        <v/>
      </c>
      <c r="AT35" s="664" t="str">
        <f t="shared" si="28"/>
        <v/>
      </c>
      <c r="AU35" s="756" t="str">
        <f t="shared" si="29"/>
        <v/>
      </c>
      <c r="AV35" s="195" t="str">
        <f t="shared" si="30"/>
        <v/>
      </c>
      <c r="AW35" s="195" t="str">
        <f t="shared" si="31"/>
        <v/>
      </c>
      <c r="AX35" s="195" t="str">
        <f t="shared" si="32"/>
        <v/>
      </c>
      <c r="AY35" s="728" t="str">
        <f t="shared" si="33"/>
        <v/>
      </c>
      <c r="AZ35" s="195" t="str">
        <f t="shared" si="34"/>
        <v/>
      </c>
      <c r="BA35" s="195" t="str">
        <f t="shared" si="35"/>
        <v/>
      </c>
      <c r="BB35" s="195" t="str">
        <f t="shared" si="36"/>
        <v/>
      </c>
      <c r="BC35" s="195" t="str">
        <f t="shared" si="37"/>
        <v/>
      </c>
      <c r="BD35" s="112" t="str">
        <f t="shared" si="38"/>
        <v/>
      </c>
      <c r="BE35" s="109" t="str">
        <f t="shared" si="39"/>
        <v/>
      </c>
      <c r="BF35" s="602"/>
      <c r="BG35" s="113" t="str">
        <f t="shared" si="40"/>
        <v/>
      </c>
      <c r="BH35" s="113" t="str">
        <f t="shared" si="41"/>
        <v/>
      </c>
      <c r="BI35" s="113" t="str">
        <f t="shared" si="42"/>
        <v/>
      </c>
      <c r="BJ35" s="281" t="str" cm="1">
        <f t="array" ref="BJ35">IF($AH35="","",
_xlfn.IFS(
$BE35="Devis 1",
IF(ISBLANK(AR35),"",IFERROR(VALUE(TRIM(SUBSTITUTE(AR35,CHAR(160),""))),0)*IFERROR(VALUE(TRIM(SUBSTITUTE($AH35,CHAR(160),""))),0)),
$BE35="Devis 2",
IF(ISBLANK(AW35),"",IFERROR(VALUE(TRIM(SUBSTITUTE(AW35,CHAR(160),""))),0)*IFERROR(VALUE(TRIM(SUBSTITUTE($AH35,CHAR(160),""))),0)),
$BE35="Devis 3",
IF(ISBLANK(BB35),"",IFERROR(VALUE(TRIM(SUBSTITUTE(BB35,CHAR(160),""))),0)*IFERROR(VALUE(TRIM(SUBSTITUTE($AH35,CHAR(160),""))),0)),
TRUE,0
)
)</f>
        <v/>
      </c>
      <c r="BK35" s="281" t="str" cm="1">
        <f t="array" ref="BK35">IF($AH35="","",
_xlfn.IFS(
$BE35="Devis 1",
IF(ISBLANK(AS35),"",IFERROR(VALUE(TRIM(SUBSTITUTE(AS35,CHAR(160),""))),0)*IFERROR(VALUE(TRIM(SUBSTITUTE($AH35,CHAR(160),""))),0)),
$BE35="Devis 2",
IF(ISBLANK(AX35),"",IFERROR(VALUE(TRIM(SUBSTITUTE(AX35,CHAR(160),""))),0)*IFERROR(VALUE(TRIM(SUBSTITUTE($AH35,CHAR(160),""))),0)),
$BE35="Devis 3",
IF(ISBLANK(BC35),"",IFERROR(VALUE(TRIM(SUBSTITUTE(BC35,CHAR(160),""))),0)*IFERROR(VALUE(TRIM(SUBSTITUTE($AH35,CHAR(160),""))),0)),
TRUE,0
)
)</f>
        <v/>
      </c>
      <c r="BL35" s="281" t="str">
        <f t="shared" si="43"/>
        <v/>
      </c>
      <c r="BM35" s="602"/>
      <c r="BN35" s="23" t="str" cm="1">
        <f t="array" ref="BN35">IF(OR(BL35="",BI35="",BJ35="",BG35="",BK35="",BH35=""),"",_xlfn.IFS(
ROUND(IFERROR(VALUE(TRIM(SUBSTITUTE(BL35,CHAR(160),""))),0),2)&gt;
ROUND(IFERROR(VALUE(TRIM(SUBSTITUTE(BI35,CHAR(160),""))),0),2),
"KO : Le montant retenu TTC est supérieur au montant raisonnable TTC. Merci de revoir la ligne de dépense ou plafonner son montant.",
ROUND(IFERROR(VALUE(TRIM(SUBSTITUTE(BJ35,CHAR(160),""))),0),2)&gt;
ROUND(IFERROR(VALUE(TRIM(SUBSTITUTE(BG35,CHAR(160),""))),0),2),
"Attention : Le montant retenu HT est supérieur au montant HT raisonnable. Merci de revoir la ligne de dépense, plafonner son montant, ou justifier la reventillation HT / TVA.",
ROUND(IFERROR(VALUE(TRIM(SUBSTITUTE(BK35,CHAR(160),""))),0),2)&gt;
ROUND(IFERROR(VALUE(TRIM(SUBSTITUTE(BH35,CHAR(160),""))),0),2),
"Attention : Le montant TVA retenu est supérieur au montant TVA raisonnable. Merci de revoir la ligne de dépense, plafonner son montant, ou justifier la reventillation HT / TVA.",
ROUND(IFERROR(VALUE(TRIM(SUBSTITUTE(BL35,CHAR(160),""))),0),2)&gt;
ROUND(IFERROR(VALUE(TRIM(SUBSTITUTE(MIN(P35,U35,Z35),CHAR(160),""))),0),2),
"Attention : Le devis retenu n'est pas le moins cher. Une justification de la part du porteur est nécessaire.",
ROUND(IFERROR(VALUE(TRIM(SUBSTITUTE(BL35,CHAR(160),""))),0),2)=0,
"Attention : montant présenté entièrement écarté",
ROUND(IFERROR(VALUE(TRIM(SUBSTITUTE(BI35,CHAR(160),""))),0),2)=
ROUND(IFERROR(VALUE(TRIM(SUBSTITUTE(BL35,CHAR(160),""))),0),2),
"OK",
ROUND(IFERROR(VALUE(TRIM(SUBSTITUTE(BI35,CHAR(160),""))),0),2)&gt;
ROUND(IFERROR(VALUE(TRIM(SUBSTITUTE(BL35,CHAR(160),""))),0),2),
" OK : Montant instruit inférieur au montant raisonnable.",
TRUE,""
))</f>
        <v/>
      </c>
      <c r="BO35" s="23" t="str" cm="1">
        <f t="array" ref="BO35">IF(OR(BL35="",AD35="",BJ35="",AB35="",BK35="",AC35=""),"",_xlfn.IFS(
ROUND(IFERROR(VALUE(TRIM(SUBSTITUTE(BL35,CHAR(160),""))),0),2)&gt;
ROUND(IFERROR(VALUE(TRIM(SUBSTITUTE(AD35,CHAR(160),""))),0),2),
"KO : Le montant retenu TTC est supérieur au montant présenté TTC. Merci de revoir la ligne de dépense ou plafonner son montant.",
ROUND(IFERROR(VALUE(TRIM(SUBSTITUTE(BJ35,CHAR(160),""))),0),2)&gt;
ROUND(IFERROR(VALUE(TRIM(SUBSTITUTE(AB35,CHAR(160),""))),0),2),
"Attention : Le montant retenu HT est supérieur au montant HT présenté. Merci de revoir la ligne de dépense, plafonner son montant, ou justifier la reventillation HT / TVA.",
ROUND(IFERROR(VALUE(TRIM(SUBSTITUTE(BK35,CHAR(160),""))),0),2)&gt;
ROUND(IFERROR(VALUE(TRIM(SUBSTITUTE(AC35,CHAR(160),""))),0),2),
"Attention : Le montant TVA retenu est supérieur au montant TVA présenté. Merci de revoir la ligne de dépense, plafonner son montant, ou justifier la reventillation HT / TVA.",
ROUND(IFERROR(VALUE(TRIM(SUBSTITUTE(AD35,CHAR(160),""))),0),2)=0,
"",
ROUND(IFERROR(VALUE(TRIM(SUBSTITUTE(BL35,CHAR(160),""))),0),2)=
ROUND(IFERROR(VALUE(TRIM(SUBSTITUTE(AD35,CHAR(160),""))),0),2),
"OK",
ROUND(IFERROR(VALUE(TRIM(SUBSTITUTE(BL35,CHAR(160),""))),0),2)=0,
"Attention : Montant présenté entièrement rejeté.",
ROUND(IFERROR(VALUE(TRIM(SUBSTITUTE(BL35,CHAR(160),""))),0),2)&lt;
ROUND(IFERROR(VALUE(TRIM(SUBSTITUTE(AD35,CHAR(160),""))),0),2),
"Attention : Montant présenté partiellement rejeté.",
TRUE,""
))</f>
        <v/>
      </c>
      <c r="BP35" s="113" t="str">
        <f t="shared" si="44"/>
        <v/>
      </c>
      <c r="BQ35" s="113" t="str">
        <f t="shared" si="45"/>
        <v/>
      </c>
      <c r="BR35" s="33" t="str">
        <f t="shared" si="46"/>
        <v/>
      </c>
    </row>
    <row r="36" spans="1:70" ht="15" customHeight="1">
      <c r="A36" s="193">
        <v>28</v>
      </c>
      <c r="B36" s="7"/>
      <c r="C36" s="7"/>
      <c r="D36" s="19"/>
      <c r="E36" s="7"/>
      <c r="F36" s="7"/>
      <c r="G36" s="7"/>
      <c r="H36" s="7"/>
      <c r="I36" s="28"/>
      <c r="J36" s="7"/>
      <c r="K36" s="29"/>
      <c r="L36" s="678"/>
      <c r="M36" s="7"/>
      <c r="N36" s="672"/>
      <c r="O36" s="11"/>
      <c r="P36" s="107" t="str">
        <f t="shared" si="48"/>
        <v/>
      </c>
      <c r="Q36" s="699"/>
      <c r="R36" s="702"/>
      <c r="S36" s="684"/>
      <c r="T36" s="11"/>
      <c r="U36" s="107" t="str">
        <f t="shared" si="49"/>
        <v/>
      </c>
      <c r="V36" s="695"/>
      <c r="W36" s="685"/>
      <c r="X36" s="707"/>
      <c r="Y36" s="684"/>
      <c r="Z36" s="108" t="str">
        <f t="shared" si="50"/>
        <v/>
      </c>
      <c r="AA36" s="25"/>
      <c r="AB36" s="287" t="str" cm="1">
        <f t="array" ref="AB36">IF((_xlfn.IFS(TRIM(SUBSTITUTE(AA36,CHAR(160),""))="Devis 1",IFERROR(VALUE(TRIM(SUBSTITUTE(N36,CHAR(160),""))),0),TRIM(SUBSTITUTE(AA36,CHAR(160),""))="Devis 2",IFERROR(VALUE(TRIM(SUBSTITUTE(S36,CHAR(160),""))),0),TRIM(SUBSTITUTE(AA36,CHAR(160),""))="Devis 3",IFERROR(VALUE(TRIM(SUBSTITUTE(X36,CHAR(160),""))),0),TRUE,0)*IFERROR(VALUE(TRIM(SUBSTITUTE(D36,CHAR(160),""))),0))=0,"",_xlfn.IFS(TRIM(SUBSTITUTE(AA36,CHAR(160),""))="Devis 1",IFERROR(VALUE(TRIM(SUBSTITUTE(N36,CHAR(160),""))),0),TRIM(SUBSTITUTE(AA36,CHAR(160),""))="Devis 2",IFERROR(VALUE(TRIM(SUBSTITUTE(S36,CHAR(160),""))),0),TRIM(SUBSTITUTE(AA36,CHAR(160),""))="Devis 3",IFERROR(VALUE(TRIM(SUBSTITUTE(X36,CHAR(160),""))),0),TRUE,0)*IFERROR(VALUE(TRIM(SUBSTITUTE(D36,CHAR(160),""))),0))</f>
        <v/>
      </c>
      <c r="AC36" s="275" t="str" cm="1">
        <f t="array" ref="AC36">IF(_xlfn.IFS(TRIM(SUBSTITUTE(AA36,CHAR(160),""))="Devis 1",IFERROR(VALUE(TRIM(SUBSTITUTE(O36,CHAR(160),""))),0),TRIM(SUBSTITUTE(AA36,CHAR(160),""))="Devis 2",IFERROR(VALUE(TRIM(SUBSTITUTE(T36,CHAR(160),""))),0),TRIM(SUBSTITUTE(AA36,CHAR(160),""))="Devis 3",IFERROR(VALUE(TRIM(SUBSTITUTE(Y36,CHAR(160),""))),0),TRUE,0)*IFERROR(VALUE(TRIM(SUBSTITUTE(D36,CHAR(160),""))),0)=0,IF(AB36&lt;&gt;"",0,""),_xlfn.IFS(TRIM(SUBSTITUTE(AA36,CHAR(160),""))="Devis 1",IFERROR(VALUE(TRIM(SUBSTITUTE(O36,CHAR(160),""))),0),TRIM(SUBSTITUTE(AA36,CHAR(160),""))="Devis 2",IFERROR(VALUE(TRIM(SUBSTITUTE(T36,CHAR(160),""))),0),TRIM(SUBSTITUTE(AA36,CHAR(160),""))="Devis 3",IFERROR(VALUE(TRIM(SUBSTITUTE(Y36,CHAR(160),""))),0),TRUE,0)*IFERROR(VALUE(TRIM(SUBSTITUTE(D36,CHAR(160),""))),0))</f>
        <v/>
      </c>
      <c r="AD36" s="285" t="str">
        <f t="shared" si="51"/>
        <v/>
      </c>
      <c r="AE36" s="26"/>
      <c r="AF36" s="109" t="str">
        <f t="shared" si="14"/>
        <v/>
      </c>
      <c r="AG36" s="109" t="str">
        <f t="shared" si="15"/>
        <v/>
      </c>
      <c r="AH36" s="885" t="str">
        <f t="shared" si="16"/>
        <v/>
      </c>
      <c r="AI36" s="109" t="str">
        <f t="shared" si="17"/>
        <v/>
      </c>
      <c r="AJ36" s="109" t="str">
        <f t="shared" si="18"/>
        <v/>
      </c>
      <c r="AK36" s="109" t="str">
        <f t="shared" si="19"/>
        <v/>
      </c>
      <c r="AL36" s="109" t="str">
        <f t="shared" si="20"/>
        <v/>
      </c>
      <c r="AM36" s="109" t="str">
        <f t="shared" si="21"/>
        <v/>
      </c>
      <c r="AN36" s="109" t="str">
        <f t="shared" si="22"/>
        <v/>
      </c>
      <c r="AO36" s="109" t="str">
        <f t="shared" si="23"/>
        <v/>
      </c>
      <c r="AP36" s="754" t="str">
        <f t="shared" si="24"/>
        <v/>
      </c>
      <c r="AQ36" s="755" t="str">
        <f t="shared" si="25"/>
        <v/>
      </c>
      <c r="AR36" s="195" t="str">
        <f t="shared" si="26"/>
        <v/>
      </c>
      <c r="AS36" s="195" t="str">
        <f t="shared" si="27"/>
        <v/>
      </c>
      <c r="AT36" s="664" t="str">
        <f t="shared" si="28"/>
        <v/>
      </c>
      <c r="AU36" s="756" t="str">
        <f t="shared" si="29"/>
        <v/>
      </c>
      <c r="AV36" s="195" t="str">
        <f t="shared" si="30"/>
        <v/>
      </c>
      <c r="AW36" s="195" t="str">
        <f t="shared" si="31"/>
        <v/>
      </c>
      <c r="AX36" s="195" t="str">
        <f t="shared" si="32"/>
        <v/>
      </c>
      <c r="AY36" s="728" t="str">
        <f t="shared" si="33"/>
        <v/>
      </c>
      <c r="AZ36" s="195" t="str">
        <f t="shared" si="34"/>
        <v/>
      </c>
      <c r="BA36" s="195" t="str">
        <f t="shared" si="35"/>
        <v/>
      </c>
      <c r="BB36" s="195" t="str">
        <f t="shared" si="36"/>
        <v/>
      </c>
      <c r="BC36" s="195" t="str">
        <f t="shared" si="37"/>
        <v/>
      </c>
      <c r="BD36" s="112" t="str">
        <f t="shared" si="38"/>
        <v/>
      </c>
      <c r="BE36" s="109" t="str">
        <f t="shared" si="39"/>
        <v/>
      </c>
      <c r="BF36" s="602"/>
      <c r="BG36" s="113" t="str">
        <f t="shared" si="40"/>
        <v/>
      </c>
      <c r="BH36" s="113" t="str">
        <f t="shared" si="41"/>
        <v/>
      </c>
      <c r="BI36" s="113" t="str">
        <f t="shared" si="42"/>
        <v/>
      </c>
      <c r="BJ36" s="281" t="str" cm="1">
        <f t="array" ref="BJ36">IF($AH36="","",
_xlfn.IFS(
$BE36="Devis 1",
IF(ISBLANK(AR36),"",IFERROR(VALUE(TRIM(SUBSTITUTE(AR36,CHAR(160),""))),0)*IFERROR(VALUE(TRIM(SUBSTITUTE($AH36,CHAR(160),""))),0)),
$BE36="Devis 2",
IF(ISBLANK(AW36),"",IFERROR(VALUE(TRIM(SUBSTITUTE(AW36,CHAR(160),""))),0)*IFERROR(VALUE(TRIM(SUBSTITUTE($AH36,CHAR(160),""))),0)),
$BE36="Devis 3",
IF(ISBLANK(BB36),"",IFERROR(VALUE(TRIM(SUBSTITUTE(BB36,CHAR(160),""))),0)*IFERROR(VALUE(TRIM(SUBSTITUTE($AH36,CHAR(160),""))),0)),
TRUE,0
)
)</f>
        <v/>
      </c>
      <c r="BK36" s="281" t="str" cm="1">
        <f t="array" ref="BK36">IF($AH36="","",
_xlfn.IFS(
$BE36="Devis 1",
IF(ISBLANK(AS36),"",IFERROR(VALUE(TRIM(SUBSTITUTE(AS36,CHAR(160),""))),0)*IFERROR(VALUE(TRIM(SUBSTITUTE($AH36,CHAR(160),""))),0)),
$BE36="Devis 2",
IF(ISBLANK(AX36),"",IFERROR(VALUE(TRIM(SUBSTITUTE(AX36,CHAR(160),""))),0)*IFERROR(VALUE(TRIM(SUBSTITUTE($AH36,CHAR(160),""))),0)),
$BE36="Devis 3",
IF(ISBLANK(BC36),"",IFERROR(VALUE(TRIM(SUBSTITUTE(BC36,CHAR(160),""))),0)*IFERROR(VALUE(TRIM(SUBSTITUTE($AH36,CHAR(160),""))),0)),
TRUE,0
)
)</f>
        <v/>
      </c>
      <c r="BL36" s="281" t="str">
        <f t="shared" si="43"/>
        <v/>
      </c>
      <c r="BM36" s="602"/>
      <c r="BN36" s="23" t="str" cm="1">
        <f t="array" ref="BN36">IF(OR(BL36="",BI36="",BJ36="",BG36="",BK36="",BH36=""),"",_xlfn.IFS(
ROUND(IFERROR(VALUE(TRIM(SUBSTITUTE(BL36,CHAR(160),""))),0),2)&gt;
ROUND(IFERROR(VALUE(TRIM(SUBSTITUTE(BI36,CHAR(160),""))),0),2),
"KO : Le montant retenu TTC est supérieur au montant raisonnable TTC. Merci de revoir la ligne de dépense ou plafonner son montant.",
ROUND(IFERROR(VALUE(TRIM(SUBSTITUTE(BJ36,CHAR(160),""))),0),2)&gt;
ROUND(IFERROR(VALUE(TRIM(SUBSTITUTE(BG36,CHAR(160),""))),0),2),
"Attention : Le montant retenu HT est supérieur au montant HT raisonnable. Merci de revoir la ligne de dépense, plafonner son montant, ou justifier la reventillation HT / TVA.",
ROUND(IFERROR(VALUE(TRIM(SUBSTITUTE(BK36,CHAR(160),""))),0),2)&gt;
ROUND(IFERROR(VALUE(TRIM(SUBSTITUTE(BH36,CHAR(160),""))),0),2),
"Attention : Le montant TVA retenu est supérieur au montant TVA raisonnable. Merci de revoir la ligne de dépense, plafonner son montant, ou justifier la reventillation HT / TVA.",
ROUND(IFERROR(VALUE(TRIM(SUBSTITUTE(BL36,CHAR(160),""))),0),2)&gt;
ROUND(IFERROR(VALUE(TRIM(SUBSTITUTE(MIN(P36,U36,Z36),CHAR(160),""))),0),2),
"Attention : Le devis retenu n'est pas le moins cher. Une justification de la part du porteur est nécessaire.",
ROUND(IFERROR(VALUE(TRIM(SUBSTITUTE(BL36,CHAR(160),""))),0),2)=0,
"Attention : montant présenté entièrement écarté",
ROUND(IFERROR(VALUE(TRIM(SUBSTITUTE(BI36,CHAR(160),""))),0),2)=
ROUND(IFERROR(VALUE(TRIM(SUBSTITUTE(BL36,CHAR(160),""))),0),2),
"OK",
ROUND(IFERROR(VALUE(TRIM(SUBSTITUTE(BI36,CHAR(160),""))),0),2)&gt;
ROUND(IFERROR(VALUE(TRIM(SUBSTITUTE(BL36,CHAR(160),""))),0),2),
" OK : Montant instruit inférieur au montant raisonnable.",
TRUE,""
))</f>
        <v/>
      </c>
      <c r="BO36" s="23" t="str" cm="1">
        <f t="array" ref="BO36">IF(OR(BL36="",AD36="",BJ36="",AB36="",BK36="",AC36=""),"",_xlfn.IFS(
ROUND(IFERROR(VALUE(TRIM(SUBSTITUTE(BL36,CHAR(160),""))),0),2)&gt;
ROUND(IFERROR(VALUE(TRIM(SUBSTITUTE(AD36,CHAR(160),""))),0),2),
"KO : Le montant retenu TTC est supérieur au montant présenté TTC. Merci de revoir la ligne de dépense ou plafonner son montant.",
ROUND(IFERROR(VALUE(TRIM(SUBSTITUTE(BJ36,CHAR(160),""))),0),2)&gt;
ROUND(IFERROR(VALUE(TRIM(SUBSTITUTE(AB36,CHAR(160),""))),0),2),
"Attention : Le montant retenu HT est supérieur au montant HT présenté. Merci de revoir la ligne de dépense, plafonner son montant, ou justifier la reventillation HT / TVA.",
ROUND(IFERROR(VALUE(TRIM(SUBSTITUTE(BK36,CHAR(160),""))),0),2)&gt;
ROUND(IFERROR(VALUE(TRIM(SUBSTITUTE(AC36,CHAR(160),""))),0),2),
"Attention : Le montant TVA retenu est supérieur au montant TVA présenté. Merci de revoir la ligne de dépense, plafonner son montant, ou justifier la reventillation HT / TVA.",
ROUND(IFERROR(VALUE(TRIM(SUBSTITUTE(AD36,CHAR(160),""))),0),2)=0,
"",
ROUND(IFERROR(VALUE(TRIM(SUBSTITUTE(BL36,CHAR(160),""))),0),2)=
ROUND(IFERROR(VALUE(TRIM(SUBSTITUTE(AD36,CHAR(160),""))),0),2),
"OK",
ROUND(IFERROR(VALUE(TRIM(SUBSTITUTE(BL36,CHAR(160),""))),0),2)=0,
"Attention : Montant présenté entièrement rejeté.",
ROUND(IFERROR(VALUE(TRIM(SUBSTITUTE(BL36,CHAR(160),""))),0),2)&lt;
ROUND(IFERROR(VALUE(TRIM(SUBSTITUTE(AD36,CHAR(160),""))),0),2),
"Attention : Montant présenté partiellement rejeté.",
TRUE,""
))</f>
        <v/>
      </c>
      <c r="BP36" s="113" t="str">
        <f t="shared" si="44"/>
        <v/>
      </c>
      <c r="BQ36" s="113" t="str">
        <f t="shared" si="45"/>
        <v/>
      </c>
      <c r="BR36" s="33" t="str">
        <f t="shared" si="46"/>
        <v/>
      </c>
    </row>
    <row r="37" spans="1:70" ht="15" customHeight="1">
      <c r="A37" s="193">
        <v>29</v>
      </c>
      <c r="B37" s="7"/>
      <c r="C37" s="7"/>
      <c r="D37" s="19"/>
      <c r="E37" s="7"/>
      <c r="F37" s="7"/>
      <c r="G37" s="7"/>
      <c r="H37" s="7"/>
      <c r="I37" s="28"/>
      <c r="J37" s="7"/>
      <c r="K37" s="29"/>
      <c r="L37" s="678"/>
      <c r="M37" s="7"/>
      <c r="N37" s="672"/>
      <c r="O37" s="11"/>
      <c r="P37" s="107" t="str">
        <f t="shared" si="48"/>
        <v/>
      </c>
      <c r="Q37" s="699"/>
      <c r="R37" s="702"/>
      <c r="S37" s="684"/>
      <c r="T37" s="11"/>
      <c r="U37" s="107" t="str">
        <f t="shared" si="49"/>
        <v/>
      </c>
      <c r="V37" s="695"/>
      <c r="W37" s="685"/>
      <c r="X37" s="707"/>
      <c r="Y37" s="684"/>
      <c r="Z37" s="108" t="str">
        <f t="shared" si="50"/>
        <v/>
      </c>
      <c r="AA37" s="25"/>
      <c r="AB37" s="287" t="str" cm="1">
        <f t="array" ref="AB37">IF((_xlfn.IFS(TRIM(SUBSTITUTE(AA37,CHAR(160),""))="Devis 1",IFERROR(VALUE(TRIM(SUBSTITUTE(N37,CHAR(160),""))),0),TRIM(SUBSTITUTE(AA37,CHAR(160),""))="Devis 2",IFERROR(VALUE(TRIM(SUBSTITUTE(S37,CHAR(160),""))),0),TRIM(SUBSTITUTE(AA37,CHAR(160),""))="Devis 3",IFERROR(VALUE(TRIM(SUBSTITUTE(X37,CHAR(160),""))),0),TRUE,0)*IFERROR(VALUE(TRIM(SUBSTITUTE(D37,CHAR(160),""))),0))=0,"",_xlfn.IFS(TRIM(SUBSTITUTE(AA37,CHAR(160),""))="Devis 1",IFERROR(VALUE(TRIM(SUBSTITUTE(N37,CHAR(160),""))),0),TRIM(SUBSTITUTE(AA37,CHAR(160),""))="Devis 2",IFERROR(VALUE(TRIM(SUBSTITUTE(S37,CHAR(160),""))),0),TRIM(SUBSTITUTE(AA37,CHAR(160),""))="Devis 3",IFERROR(VALUE(TRIM(SUBSTITUTE(X37,CHAR(160),""))),0),TRUE,0)*IFERROR(VALUE(TRIM(SUBSTITUTE(D37,CHAR(160),""))),0))</f>
        <v/>
      </c>
      <c r="AC37" s="275" t="str" cm="1">
        <f t="array" ref="AC37">IF(_xlfn.IFS(TRIM(SUBSTITUTE(AA37,CHAR(160),""))="Devis 1",IFERROR(VALUE(TRIM(SUBSTITUTE(O37,CHAR(160),""))),0),TRIM(SUBSTITUTE(AA37,CHAR(160),""))="Devis 2",IFERROR(VALUE(TRIM(SUBSTITUTE(T37,CHAR(160),""))),0),TRIM(SUBSTITUTE(AA37,CHAR(160),""))="Devis 3",IFERROR(VALUE(TRIM(SUBSTITUTE(Y37,CHAR(160),""))),0),TRUE,0)*IFERROR(VALUE(TRIM(SUBSTITUTE(D37,CHAR(160),""))),0)=0,IF(AB37&lt;&gt;"",0,""),_xlfn.IFS(TRIM(SUBSTITUTE(AA37,CHAR(160),""))="Devis 1",IFERROR(VALUE(TRIM(SUBSTITUTE(O37,CHAR(160),""))),0),TRIM(SUBSTITUTE(AA37,CHAR(160),""))="Devis 2",IFERROR(VALUE(TRIM(SUBSTITUTE(T37,CHAR(160),""))),0),TRIM(SUBSTITUTE(AA37,CHAR(160),""))="Devis 3",IFERROR(VALUE(TRIM(SUBSTITUTE(Y37,CHAR(160),""))),0),TRUE,0)*IFERROR(VALUE(TRIM(SUBSTITUTE(D37,CHAR(160),""))),0))</f>
        <v/>
      </c>
      <c r="AD37" s="285" t="str">
        <f t="shared" si="51"/>
        <v/>
      </c>
      <c r="AE37" s="26"/>
      <c r="AF37" s="109" t="str">
        <f t="shared" si="14"/>
        <v/>
      </c>
      <c r="AG37" s="109" t="str">
        <f t="shared" si="15"/>
        <v/>
      </c>
      <c r="AH37" s="885" t="str">
        <f t="shared" si="16"/>
        <v/>
      </c>
      <c r="AI37" s="109" t="str">
        <f t="shared" si="17"/>
        <v/>
      </c>
      <c r="AJ37" s="109" t="str">
        <f t="shared" si="18"/>
        <v/>
      </c>
      <c r="AK37" s="109" t="str">
        <f t="shared" si="19"/>
        <v/>
      </c>
      <c r="AL37" s="109" t="str">
        <f t="shared" si="20"/>
        <v/>
      </c>
      <c r="AM37" s="109" t="str">
        <f t="shared" si="21"/>
        <v/>
      </c>
      <c r="AN37" s="109" t="str">
        <f t="shared" si="22"/>
        <v/>
      </c>
      <c r="AO37" s="109" t="str">
        <f t="shared" si="23"/>
        <v/>
      </c>
      <c r="AP37" s="754" t="str">
        <f t="shared" si="24"/>
        <v/>
      </c>
      <c r="AQ37" s="755" t="str">
        <f t="shared" si="25"/>
        <v/>
      </c>
      <c r="AR37" s="195" t="str">
        <f t="shared" si="26"/>
        <v/>
      </c>
      <c r="AS37" s="195" t="str">
        <f t="shared" si="27"/>
        <v/>
      </c>
      <c r="AT37" s="664" t="str">
        <f t="shared" si="28"/>
        <v/>
      </c>
      <c r="AU37" s="756" t="str">
        <f t="shared" si="29"/>
        <v/>
      </c>
      <c r="AV37" s="195" t="str">
        <f t="shared" si="30"/>
        <v/>
      </c>
      <c r="AW37" s="195" t="str">
        <f t="shared" si="31"/>
        <v/>
      </c>
      <c r="AX37" s="195" t="str">
        <f t="shared" si="32"/>
        <v/>
      </c>
      <c r="AY37" s="728" t="str">
        <f t="shared" si="33"/>
        <v/>
      </c>
      <c r="AZ37" s="195" t="str">
        <f t="shared" si="34"/>
        <v/>
      </c>
      <c r="BA37" s="195" t="str">
        <f t="shared" si="35"/>
        <v/>
      </c>
      <c r="BB37" s="195" t="str">
        <f t="shared" si="36"/>
        <v/>
      </c>
      <c r="BC37" s="195" t="str">
        <f t="shared" si="37"/>
        <v/>
      </c>
      <c r="BD37" s="112" t="str">
        <f t="shared" si="38"/>
        <v/>
      </c>
      <c r="BE37" s="109" t="str">
        <f t="shared" si="39"/>
        <v/>
      </c>
      <c r="BF37" s="602"/>
      <c r="BG37" s="113" t="str">
        <f t="shared" si="40"/>
        <v/>
      </c>
      <c r="BH37" s="113" t="str">
        <f t="shared" si="41"/>
        <v/>
      </c>
      <c r="BI37" s="113" t="str">
        <f t="shared" si="42"/>
        <v/>
      </c>
      <c r="BJ37" s="281" t="str" cm="1">
        <f t="array" ref="BJ37">IF($AH37="","",
_xlfn.IFS(
$BE37="Devis 1",
IF(ISBLANK(AR37),"",IFERROR(VALUE(TRIM(SUBSTITUTE(AR37,CHAR(160),""))),0)*IFERROR(VALUE(TRIM(SUBSTITUTE($AH37,CHAR(160),""))),0)),
$BE37="Devis 2",
IF(ISBLANK(AW37),"",IFERROR(VALUE(TRIM(SUBSTITUTE(AW37,CHAR(160),""))),0)*IFERROR(VALUE(TRIM(SUBSTITUTE($AH37,CHAR(160),""))),0)),
$BE37="Devis 3",
IF(ISBLANK(BB37),"",IFERROR(VALUE(TRIM(SUBSTITUTE(BB37,CHAR(160),""))),0)*IFERROR(VALUE(TRIM(SUBSTITUTE($AH37,CHAR(160),""))),0)),
TRUE,0
)
)</f>
        <v/>
      </c>
      <c r="BK37" s="281" t="str" cm="1">
        <f t="array" ref="BK37">IF($AH37="","",
_xlfn.IFS(
$BE37="Devis 1",
IF(ISBLANK(AS37),"",IFERROR(VALUE(TRIM(SUBSTITUTE(AS37,CHAR(160),""))),0)*IFERROR(VALUE(TRIM(SUBSTITUTE($AH37,CHAR(160),""))),0)),
$BE37="Devis 2",
IF(ISBLANK(AX37),"",IFERROR(VALUE(TRIM(SUBSTITUTE(AX37,CHAR(160),""))),0)*IFERROR(VALUE(TRIM(SUBSTITUTE($AH37,CHAR(160),""))),0)),
$BE37="Devis 3",
IF(ISBLANK(BC37),"",IFERROR(VALUE(TRIM(SUBSTITUTE(BC37,CHAR(160),""))),0)*IFERROR(VALUE(TRIM(SUBSTITUTE($AH37,CHAR(160),""))),0)),
TRUE,0
)
)</f>
        <v/>
      </c>
      <c r="BL37" s="281" t="str">
        <f t="shared" si="43"/>
        <v/>
      </c>
      <c r="BM37" s="602"/>
      <c r="BN37" s="23" t="str" cm="1">
        <f t="array" ref="BN37">IF(OR(BL37="",BI37="",BJ37="",BG37="",BK37="",BH37=""),"",_xlfn.IFS(
ROUND(IFERROR(VALUE(TRIM(SUBSTITUTE(BL37,CHAR(160),""))),0),2)&gt;
ROUND(IFERROR(VALUE(TRIM(SUBSTITUTE(BI37,CHAR(160),""))),0),2),
"KO : Le montant retenu TTC est supérieur au montant raisonnable TTC. Merci de revoir la ligne de dépense ou plafonner son montant.",
ROUND(IFERROR(VALUE(TRIM(SUBSTITUTE(BJ37,CHAR(160),""))),0),2)&gt;
ROUND(IFERROR(VALUE(TRIM(SUBSTITUTE(BG37,CHAR(160),""))),0),2),
"Attention : Le montant retenu HT est supérieur au montant HT raisonnable. Merci de revoir la ligne de dépense, plafonner son montant, ou justifier la reventillation HT / TVA.",
ROUND(IFERROR(VALUE(TRIM(SUBSTITUTE(BK37,CHAR(160),""))),0),2)&gt;
ROUND(IFERROR(VALUE(TRIM(SUBSTITUTE(BH37,CHAR(160),""))),0),2),
"Attention : Le montant TVA retenu est supérieur au montant TVA raisonnable. Merci de revoir la ligne de dépense, plafonner son montant, ou justifier la reventillation HT / TVA.",
ROUND(IFERROR(VALUE(TRIM(SUBSTITUTE(BL37,CHAR(160),""))),0),2)&gt;
ROUND(IFERROR(VALUE(TRIM(SUBSTITUTE(MIN(P37,U37,Z37),CHAR(160),""))),0),2),
"Attention : Le devis retenu n'est pas le moins cher. Une justification de la part du porteur est nécessaire.",
ROUND(IFERROR(VALUE(TRIM(SUBSTITUTE(BL37,CHAR(160),""))),0),2)=0,
"Attention : montant présenté entièrement écarté",
ROUND(IFERROR(VALUE(TRIM(SUBSTITUTE(BI37,CHAR(160),""))),0),2)=
ROUND(IFERROR(VALUE(TRIM(SUBSTITUTE(BL37,CHAR(160),""))),0),2),
"OK",
ROUND(IFERROR(VALUE(TRIM(SUBSTITUTE(BI37,CHAR(160),""))),0),2)&gt;
ROUND(IFERROR(VALUE(TRIM(SUBSTITUTE(BL37,CHAR(160),""))),0),2),
" OK : Montant instruit inférieur au montant raisonnable.",
TRUE,""
))</f>
        <v/>
      </c>
      <c r="BO37" s="23" t="str" cm="1">
        <f t="array" ref="BO37">IF(OR(BL37="",AD37="",BJ37="",AB37="",BK37="",AC37=""),"",_xlfn.IFS(
ROUND(IFERROR(VALUE(TRIM(SUBSTITUTE(BL37,CHAR(160),""))),0),2)&gt;
ROUND(IFERROR(VALUE(TRIM(SUBSTITUTE(AD37,CHAR(160),""))),0),2),
"KO : Le montant retenu TTC est supérieur au montant présenté TTC. Merci de revoir la ligne de dépense ou plafonner son montant.",
ROUND(IFERROR(VALUE(TRIM(SUBSTITUTE(BJ37,CHAR(160),""))),0),2)&gt;
ROUND(IFERROR(VALUE(TRIM(SUBSTITUTE(AB37,CHAR(160),""))),0),2),
"Attention : Le montant retenu HT est supérieur au montant HT présenté. Merci de revoir la ligne de dépense, plafonner son montant, ou justifier la reventillation HT / TVA.",
ROUND(IFERROR(VALUE(TRIM(SUBSTITUTE(BK37,CHAR(160),""))),0),2)&gt;
ROUND(IFERROR(VALUE(TRIM(SUBSTITUTE(AC37,CHAR(160),""))),0),2),
"Attention : Le montant TVA retenu est supérieur au montant TVA présenté. Merci de revoir la ligne de dépense, plafonner son montant, ou justifier la reventillation HT / TVA.",
ROUND(IFERROR(VALUE(TRIM(SUBSTITUTE(AD37,CHAR(160),""))),0),2)=0,
"",
ROUND(IFERROR(VALUE(TRIM(SUBSTITUTE(BL37,CHAR(160),""))),0),2)=
ROUND(IFERROR(VALUE(TRIM(SUBSTITUTE(AD37,CHAR(160),""))),0),2),
"OK",
ROUND(IFERROR(VALUE(TRIM(SUBSTITUTE(BL37,CHAR(160),""))),0),2)=0,
"Attention : Montant présenté entièrement rejeté.",
ROUND(IFERROR(VALUE(TRIM(SUBSTITUTE(BL37,CHAR(160),""))),0),2)&lt;
ROUND(IFERROR(VALUE(TRIM(SUBSTITUTE(AD37,CHAR(160),""))),0),2),
"Attention : Montant présenté partiellement rejeté.",
TRUE,""
))</f>
        <v/>
      </c>
      <c r="BP37" s="113" t="str">
        <f t="shared" si="44"/>
        <v/>
      </c>
      <c r="BQ37" s="113" t="str">
        <f t="shared" si="45"/>
        <v/>
      </c>
      <c r="BR37" s="33" t="str">
        <f t="shared" si="46"/>
        <v/>
      </c>
    </row>
    <row r="38" spans="1:70" ht="15" customHeight="1">
      <c r="A38" s="193">
        <v>30</v>
      </c>
      <c r="B38" s="7"/>
      <c r="C38" s="7"/>
      <c r="D38" s="19"/>
      <c r="E38" s="7"/>
      <c r="F38" s="7"/>
      <c r="G38" s="7"/>
      <c r="H38" s="7"/>
      <c r="I38" s="28"/>
      <c r="J38" s="7"/>
      <c r="K38" s="29"/>
      <c r="L38" s="678"/>
      <c r="M38" s="7"/>
      <c r="N38" s="672"/>
      <c r="O38" s="11"/>
      <c r="P38" s="107" t="str">
        <f t="shared" si="48"/>
        <v/>
      </c>
      <c r="Q38" s="699"/>
      <c r="R38" s="702"/>
      <c r="S38" s="684"/>
      <c r="T38" s="11"/>
      <c r="U38" s="107" t="str">
        <f t="shared" si="49"/>
        <v/>
      </c>
      <c r="V38" s="695"/>
      <c r="W38" s="685"/>
      <c r="X38" s="707"/>
      <c r="Y38" s="684"/>
      <c r="Z38" s="108" t="str">
        <f t="shared" si="50"/>
        <v/>
      </c>
      <c r="AA38" s="25"/>
      <c r="AB38" s="287" t="str" cm="1">
        <f t="array" ref="AB38">IF((_xlfn.IFS(TRIM(SUBSTITUTE(AA38,CHAR(160),""))="Devis 1",IFERROR(VALUE(TRIM(SUBSTITUTE(N38,CHAR(160),""))),0),TRIM(SUBSTITUTE(AA38,CHAR(160),""))="Devis 2",IFERROR(VALUE(TRIM(SUBSTITUTE(S38,CHAR(160),""))),0),TRIM(SUBSTITUTE(AA38,CHAR(160),""))="Devis 3",IFERROR(VALUE(TRIM(SUBSTITUTE(X38,CHAR(160),""))),0),TRUE,0)*IFERROR(VALUE(TRIM(SUBSTITUTE(D38,CHAR(160),""))),0))=0,"",_xlfn.IFS(TRIM(SUBSTITUTE(AA38,CHAR(160),""))="Devis 1",IFERROR(VALUE(TRIM(SUBSTITUTE(N38,CHAR(160),""))),0),TRIM(SUBSTITUTE(AA38,CHAR(160),""))="Devis 2",IFERROR(VALUE(TRIM(SUBSTITUTE(S38,CHAR(160),""))),0),TRIM(SUBSTITUTE(AA38,CHAR(160),""))="Devis 3",IFERROR(VALUE(TRIM(SUBSTITUTE(X38,CHAR(160),""))),0),TRUE,0)*IFERROR(VALUE(TRIM(SUBSTITUTE(D38,CHAR(160),""))),0))</f>
        <v/>
      </c>
      <c r="AC38" s="275" t="str" cm="1">
        <f t="array" ref="AC38">IF(_xlfn.IFS(TRIM(SUBSTITUTE(AA38,CHAR(160),""))="Devis 1",IFERROR(VALUE(TRIM(SUBSTITUTE(O38,CHAR(160),""))),0),TRIM(SUBSTITUTE(AA38,CHAR(160),""))="Devis 2",IFERROR(VALUE(TRIM(SUBSTITUTE(T38,CHAR(160),""))),0),TRIM(SUBSTITUTE(AA38,CHAR(160),""))="Devis 3",IFERROR(VALUE(TRIM(SUBSTITUTE(Y38,CHAR(160),""))),0),TRUE,0)*IFERROR(VALUE(TRIM(SUBSTITUTE(D38,CHAR(160),""))),0)=0,IF(AB38&lt;&gt;"",0,""),_xlfn.IFS(TRIM(SUBSTITUTE(AA38,CHAR(160),""))="Devis 1",IFERROR(VALUE(TRIM(SUBSTITUTE(O38,CHAR(160),""))),0),TRIM(SUBSTITUTE(AA38,CHAR(160),""))="Devis 2",IFERROR(VALUE(TRIM(SUBSTITUTE(T38,CHAR(160),""))),0),TRIM(SUBSTITUTE(AA38,CHAR(160),""))="Devis 3",IFERROR(VALUE(TRIM(SUBSTITUTE(Y38,CHAR(160),""))),0),TRUE,0)*IFERROR(VALUE(TRIM(SUBSTITUTE(D38,CHAR(160),""))),0))</f>
        <v/>
      </c>
      <c r="AD38" s="285" t="str">
        <f t="shared" si="51"/>
        <v/>
      </c>
      <c r="AE38" s="26"/>
      <c r="AF38" s="109" t="str">
        <f t="shared" si="14"/>
        <v/>
      </c>
      <c r="AG38" s="109" t="str">
        <f t="shared" si="15"/>
        <v/>
      </c>
      <c r="AH38" s="885" t="str">
        <f t="shared" si="16"/>
        <v/>
      </c>
      <c r="AI38" s="109" t="str">
        <f t="shared" si="17"/>
        <v/>
      </c>
      <c r="AJ38" s="109" t="str">
        <f t="shared" si="18"/>
        <v/>
      </c>
      <c r="AK38" s="109" t="str">
        <f t="shared" si="19"/>
        <v/>
      </c>
      <c r="AL38" s="109" t="str">
        <f t="shared" si="20"/>
        <v/>
      </c>
      <c r="AM38" s="109" t="str">
        <f t="shared" si="21"/>
        <v/>
      </c>
      <c r="AN38" s="109" t="str">
        <f t="shared" si="22"/>
        <v/>
      </c>
      <c r="AO38" s="109" t="str">
        <f t="shared" si="23"/>
        <v/>
      </c>
      <c r="AP38" s="754" t="str">
        <f t="shared" si="24"/>
        <v/>
      </c>
      <c r="AQ38" s="755" t="str">
        <f t="shared" si="25"/>
        <v/>
      </c>
      <c r="AR38" s="195" t="str">
        <f t="shared" si="26"/>
        <v/>
      </c>
      <c r="AS38" s="195" t="str">
        <f t="shared" si="27"/>
        <v/>
      </c>
      <c r="AT38" s="664" t="str">
        <f t="shared" si="28"/>
        <v/>
      </c>
      <c r="AU38" s="756" t="str">
        <f t="shared" si="29"/>
        <v/>
      </c>
      <c r="AV38" s="195" t="str">
        <f t="shared" si="30"/>
        <v/>
      </c>
      <c r="AW38" s="195" t="str">
        <f t="shared" si="31"/>
        <v/>
      </c>
      <c r="AX38" s="195" t="str">
        <f t="shared" si="32"/>
        <v/>
      </c>
      <c r="AY38" s="728" t="str">
        <f t="shared" si="33"/>
        <v/>
      </c>
      <c r="AZ38" s="195" t="str">
        <f t="shared" si="34"/>
        <v/>
      </c>
      <c r="BA38" s="195" t="str">
        <f t="shared" si="35"/>
        <v/>
      </c>
      <c r="BB38" s="195" t="str">
        <f t="shared" si="36"/>
        <v/>
      </c>
      <c r="BC38" s="195" t="str">
        <f t="shared" si="37"/>
        <v/>
      </c>
      <c r="BD38" s="112" t="str">
        <f t="shared" si="38"/>
        <v/>
      </c>
      <c r="BE38" s="109" t="str">
        <f t="shared" si="39"/>
        <v/>
      </c>
      <c r="BF38" s="602"/>
      <c r="BG38" s="113" t="str">
        <f t="shared" si="40"/>
        <v/>
      </c>
      <c r="BH38" s="113" t="str">
        <f t="shared" si="41"/>
        <v/>
      </c>
      <c r="BI38" s="113" t="str">
        <f t="shared" si="42"/>
        <v/>
      </c>
      <c r="BJ38" s="281" t="str" cm="1">
        <f t="array" ref="BJ38">IF($AH38="","",
_xlfn.IFS(
$BE38="Devis 1",
IF(ISBLANK(AR38),"",IFERROR(VALUE(TRIM(SUBSTITUTE(AR38,CHAR(160),""))),0)*IFERROR(VALUE(TRIM(SUBSTITUTE($AH38,CHAR(160),""))),0)),
$BE38="Devis 2",
IF(ISBLANK(AW38),"",IFERROR(VALUE(TRIM(SUBSTITUTE(AW38,CHAR(160),""))),0)*IFERROR(VALUE(TRIM(SUBSTITUTE($AH38,CHAR(160),""))),0)),
$BE38="Devis 3",
IF(ISBLANK(BB38),"",IFERROR(VALUE(TRIM(SUBSTITUTE(BB38,CHAR(160),""))),0)*IFERROR(VALUE(TRIM(SUBSTITUTE($AH38,CHAR(160),""))),0)),
TRUE,0
)
)</f>
        <v/>
      </c>
      <c r="BK38" s="281" t="str" cm="1">
        <f t="array" ref="BK38">IF($AH38="","",
_xlfn.IFS(
$BE38="Devis 1",
IF(ISBLANK(AS38),"",IFERROR(VALUE(TRIM(SUBSTITUTE(AS38,CHAR(160),""))),0)*IFERROR(VALUE(TRIM(SUBSTITUTE($AH38,CHAR(160),""))),0)),
$BE38="Devis 2",
IF(ISBLANK(AX38),"",IFERROR(VALUE(TRIM(SUBSTITUTE(AX38,CHAR(160),""))),0)*IFERROR(VALUE(TRIM(SUBSTITUTE($AH38,CHAR(160),""))),0)),
$BE38="Devis 3",
IF(ISBLANK(BC38),"",IFERROR(VALUE(TRIM(SUBSTITUTE(BC38,CHAR(160),""))),0)*IFERROR(VALUE(TRIM(SUBSTITUTE($AH38,CHAR(160),""))),0)),
TRUE,0
)
)</f>
        <v/>
      </c>
      <c r="BL38" s="281" t="str">
        <f t="shared" si="43"/>
        <v/>
      </c>
      <c r="BM38" s="602"/>
      <c r="BN38" s="23" t="str" cm="1">
        <f t="array" ref="BN38">IF(OR(BL38="",BI38="",BJ38="",BG38="",BK38="",BH38=""),"",_xlfn.IFS(
ROUND(IFERROR(VALUE(TRIM(SUBSTITUTE(BL38,CHAR(160),""))),0),2)&gt;
ROUND(IFERROR(VALUE(TRIM(SUBSTITUTE(BI38,CHAR(160),""))),0),2),
"KO : Le montant retenu TTC est supérieur au montant raisonnable TTC. Merci de revoir la ligne de dépense ou plafonner son montant.",
ROUND(IFERROR(VALUE(TRIM(SUBSTITUTE(BJ38,CHAR(160),""))),0),2)&gt;
ROUND(IFERROR(VALUE(TRIM(SUBSTITUTE(BG38,CHAR(160),""))),0),2),
"Attention : Le montant retenu HT est supérieur au montant HT raisonnable. Merci de revoir la ligne de dépense, plafonner son montant, ou justifier la reventillation HT / TVA.",
ROUND(IFERROR(VALUE(TRIM(SUBSTITUTE(BK38,CHAR(160),""))),0),2)&gt;
ROUND(IFERROR(VALUE(TRIM(SUBSTITUTE(BH38,CHAR(160),""))),0),2),
"Attention : Le montant TVA retenu est supérieur au montant TVA raisonnable. Merci de revoir la ligne de dépense, plafonner son montant, ou justifier la reventillation HT / TVA.",
ROUND(IFERROR(VALUE(TRIM(SUBSTITUTE(BL38,CHAR(160),""))),0),2)&gt;
ROUND(IFERROR(VALUE(TRIM(SUBSTITUTE(MIN(P38,U38,Z38),CHAR(160),""))),0),2),
"Attention : Le devis retenu n'est pas le moins cher. Une justification de la part du porteur est nécessaire.",
ROUND(IFERROR(VALUE(TRIM(SUBSTITUTE(BL38,CHAR(160),""))),0),2)=0,
"Attention : montant présenté entièrement écarté",
ROUND(IFERROR(VALUE(TRIM(SUBSTITUTE(BI38,CHAR(160),""))),0),2)=
ROUND(IFERROR(VALUE(TRIM(SUBSTITUTE(BL38,CHAR(160),""))),0),2),
"OK",
ROUND(IFERROR(VALUE(TRIM(SUBSTITUTE(BI38,CHAR(160),""))),0),2)&gt;
ROUND(IFERROR(VALUE(TRIM(SUBSTITUTE(BL38,CHAR(160),""))),0),2),
" OK : Montant instruit inférieur au montant raisonnable.",
TRUE,""
))</f>
        <v/>
      </c>
      <c r="BO38" s="23" t="str" cm="1">
        <f t="array" ref="BO38">IF(OR(BL38="",AD38="",BJ38="",AB38="",BK38="",AC38=""),"",_xlfn.IFS(
ROUND(IFERROR(VALUE(TRIM(SUBSTITUTE(BL38,CHAR(160),""))),0),2)&gt;
ROUND(IFERROR(VALUE(TRIM(SUBSTITUTE(AD38,CHAR(160),""))),0),2),
"KO : Le montant retenu TTC est supérieur au montant présenté TTC. Merci de revoir la ligne de dépense ou plafonner son montant.",
ROUND(IFERROR(VALUE(TRIM(SUBSTITUTE(BJ38,CHAR(160),""))),0),2)&gt;
ROUND(IFERROR(VALUE(TRIM(SUBSTITUTE(AB38,CHAR(160),""))),0),2),
"Attention : Le montant retenu HT est supérieur au montant HT présenté. Merci de revoir la ligne de dépense, plafonner son montant, ou justifier la reventillation HT / TVA.",
ROUND(IFERROR(VALUE(TRIM(SUBSTITUTE(BK38,CHAR(160),""))),0),2)&gt;
ROUND(IFERROR(VALUE(TRIM(SUBSTITUTE(AC38,CHAR(160),""))),0),2),
"Attention : Le montant TVA retenu est supérieur au montant TVA présenté. Merci de revoir la ligne de dépense, plafonner son montant, ou justifier la reventillation HT / TVA.",
ROUND(IFERROR(VALUE(TRIM(SUBSTITUTE(AD38,CHAR(160),""))),0),2)=0,
"",
ROUND(IFERROR(VALUE(TRIM(SUBSTITUTE(BL38,CHAR(160),""))),0),2)=
ROUND(IFERROR(VALUE(TRIM(SUBSTITUTE(AD38,CHAR(160),""))),0),2),
"OK",
ROUND(IFERROR(VALUE(TRIM(SUBSTITUTE(BL38,CHAR(160),""))),0),2)=0,
"Attention : Montant présenté entièrement rejeté.",
ROUND(IFERROR(VALUE(TRIM(SUBSTITUTE(BL38,CHAR(160),""))),0),2)&lt;
ROUND(IFERROR(VALUE(TRIM(SUBSTITUTE(AD38,CHAR(160),""))),0),2),
"Attention : Montant présenté partiellement rejeté.",
TRUE,""
))</f>
        <v/>
      </c>
      <c r="BP38" s="113" t="str">
        <f t="shared" si="44"/>
        <v/>
      </c>
      <c r="BQ38" s="113" t="str">
        <f t="shared" si="45"/>
        <v/>
      </c>
      <c r="BR38" s="33" t="str">
        <f t="shared" si="46"/>
        <v/>
      </c>
    </row>
    <row r="39" spans="1:70" ht="15" customHeight="1">
      <c r="A39" s="193">
        <v>31</v>
      </c>
      <c r="B39" s="7"/>
      <c r="C39" s="7"/>
      <c r="D39" s="19"/>
      <c r="E39" s="7"/>
      <c r="F39" s="7"/>
      <c r="G39" s="7"/>
      <c r="H39" s="7"/>
      <c r="I39" s="28"/>
      <c r="J39" s="7"/>
      <c r="K39" s="29"/>
      <c r="L39" s="678"/>
      <c r="M39" s="7"/>
      <c r="N39" s="672"/>
      <c r="O39" s="11"/>
      <c r="P39" s="107" t="str">
        <f t="shared" si="48"/>
        <v/>
      </c>
      <c r="Q39" s="699"/>
      <c r="R39" s="702"/>
      <c r="S39" s="684"/>
      <c r="T39" s="11"/>
      <c r="U39" s="107" t="str">
        <f t="shared" si="49"/>
        <v/>
      </c>
      <c r="V39" s="695"/>
      <c r="W39" s="685"/>
      <c r="X39" s="707"/>
      <c r="Y39" s="684"/>
      <c r="Z39" s="108" t="str">
        <f t="shared" si="50"/>
        <v/>
      </c>
      <c r="AA39" s="25"/>
      <c r="AB39" s="287" t="str" cm="1">
        <f t="array" ref="AB39">IF((_xlfn.IFS(TRIM(SUBSTITUTE(AA39,CHAR(160),""))="Devis 1",IFERROR(VALUE(TRIM(SUBSTITUTE(N39,CHAR(160),""))),0),TRIM(SUBSTITUTE(AA39,CHAR(160),""))="Devis 2",IFERROR(VALUE(TRIM(SUBSTITUTE(S39,CHAR(160),""))),0),TRIM(SUBSTITUTE(AA39,CHAR(160),""))="Devis 3",IFERROR(VALUE(TRIM(SUBSTITUTE(X39,CHAR(160),""))),0),TRUE,0)*IFERROR(VALUE(TRIM(SUBSTITUTE(D39,CHAR(160),""))),0))=0,"",_xlfn.IFS(TRIM(SUBSTITUTE(AA39,CHAR(160),""))="Devis 1",IFERROR(VALUE(TRIM(SUBSTITUTE(N39,CHAR(160),""))),0),TRIM(SUBSTITUTE(AA39,CHAR(160),""))="Devis 2",IFERROR(VALUE(TRIM(SUBSTITUTE(S39,CHAR(160),""))),0),TRIM(SUBSTITUTE(AA39,CHAR(160),""))="Devis 3",IFERROR(VALUE(TRIM(SUBSTITUTE(X39,CHAR(160),""))),0),TRUE,0)*IFERROR(VALUE(TRIM(SUBSTITUTE(D39,CHAR(160),""))),0))</f>
        <v/>
      </c>
      <c r="AC39" s="275" t="str" cm="1">
        <f t="array" ref="AC39">IF(_xlfn.IFS(TRIM(SUBSTITUTE(AA39,CHAR(160),""))="Devis 1",IFERROR(VALUE(TRIM(SUBSTITUTE(O39,CHAR(160),""))),0),TRIM(SUBSTITUTE(AA39,CHAR(160),""))="Devis 2",IFERROR(VALUE(TRIM(SUBSTITUTE(T39,CHAR(160),""))),0),TRIM(SUBSTITUTE(AA39,CHAR(160),""))="Devis 3",IFERROR(VALUE(TRIM(SUBSTITUTE(Y39,CHAR(160),""))),0),TRUE,0)*IFERROR(VALUE(TRIM(SUBSTITUTE(D39,CHAR(160),""))),0)=0,IF(AB39&lt;&gt;"",0,""),_xlfn.IFS(TRIM(SUBSTITUTE(AA39,CHAR(160),""))="Devis 1",IFERROR(VALUE(TRIM(SUBSTITUTE(O39,CHAR(160),""))),0),TRIM(SUBSTITUTE(AA39,CHAR(160),""))="Devis 2",IFERROR(VALUE(TRIM(SUBSTITUTE(T39,CHAR(160),""))),0),TRIM(SUBSTITUTE(AA39,CHAR(160),""))="Devis 3",IFERROR(VALUE(TRIM(SUBSTITUTE(Y39,CHAR(160),""))),0),TRUE,0)*IFERROR(VALUE(TRIM(SUBSTITUTE(D39,CHAR(160),""))),0))</f>
        <v/>
      </c>
      <c r="AD39" s="285" t="str">
        <f t="shared" si="51"/>
        <v/>
      </c>
      <c r="AE39" s="26"/>
      <c r="AF39" s="109" t="str">
        <f t="shared" si="14"/>
        <v/>
      </c>
      <c r="AG39" s="109" t="str">
        <f t="shared" si="15"/>
        <v/>
      </c>
      <c r="AH39" s="885" t="str">
        <f t="shared" si="16"/>
        <v/>
      </c>
      <c r="AI39" s="109" t="str">
        <f t="shared" si="17"/>
        <v/>
      </c>
      <c r="AJ39" s="109" t="str">
        <f t="shared" si="18"/>
        <v/>
      </c>
      <c r="AK39" s="109" t="str">
        <f t="shared" si="19"/>
        <v/>
      </c>
      <c r="AL39" s="109" t="str">
        <f t="shared" si="20"/>
        <v/>
      </c>
      <c r="AM39" s="109" t="str">
        <f t="shared" si="21"/>
        <v/>
      </c>
      <c r="AN39" s="109" t="str">
        <f t="shared" si="22"/>
        <v/>
      </c>
      <c r="AO39" s="109" t="str">
        <f t="shared" si="23"/>
        <v/>
      </c>
      <c r="AP39" s="754" t="str">
        <f t="shared" si="24"/>
        <v/>
      </c>
      <c r="AQ39" s="755" t="str">
        <f t="shared" si="25"/>
        <v/>
      </c>
      <c r="AR39" s="195" t="str">
        <f t="shared" si="26"/>
        <v/>
      </c>
      <c r="AS39" s="195" t="str">
        <f t="shared" si="27"/>
        <v/>
      </c>
      <c r="AT39" s="664" t="str">
        <f t="shared" si="28"/>
        <v/>
      </c>
      <c r="AU39" s="756" t="str">
        <f t="shared" si="29"/>
        <v/>
      </c>
      <c r="AV39" s="195" t="str">
        <f t="shared" si="30"/>
        <v/>
      </c>
      <c r="AW39" s="195" t="str">
        <f t="shared" si="31"/>
        <v/>
      </c>
      <c r="AX39" s="195" t="str">
        <f t="shared" si="32"/>
        <v/>
      </c>
      <c r="AY39" s="728" t="str">
        <f t="shared" si="33"/>
        <v/>
      </c>
      <c r="AZ39" s="195" t="str">
        <f t="shared" si="34"/>
        <v/>
      </c>
      <c r="BA39" s="195" t="str">
        <f t="shared" si="35"/>
        <v/>
      </c>
      <c r="BB39" s="195" t="str">
        <f t="shared" si="36"/>
        <v/>
      </c>
      <c r="BC39" s="195" t="str">
        <f t="shared" si="37"/>
        <v/>
      </c>
      <c r="BD39" s="112" t="str">
        <f t="shared" si="38"/>
        <v/>
      </c>
      <c r="BE39" s="109" t="str">
        <f t="shared" si="39"/>
        <v/>
      </c>
      <c r="BF39" s="602"/>
      <c r="BG39" s="113" t="str">
        <f t="shared" si="40"/>
        <v/>
      </c>
      <c r="BH39" s="113" t="str">
        <f t="shared" si="41"/>
        <v/>
      </c>
      <c r="BI39" s="113" t="str">
        <f t="shared" si="42"/>
        <v/>
      </c>
      <c r="BJ39" s="281" t="str" cm="1">
        <f t="array" ref="BJ39">IF($AH39="","",
_xlfn.IFS(
$BE39="Devis 1",
IF(ISBLANK(AR39),"",IFERROR(VALUE(TRIM(SUBSTITUTE(AR39,CHAR(160),""))),0)*IFERROR(VALUE(TRIM(SUBSTITUTE($AH39,CHAR(160),""))),0)),
$BE39="Devis 2",
IF(ISBLANK(AW39),"",IFERROR(VALUE(TRIM(SUBSTITUTE(AW39,CHAR(160),""))),0)*IFERROR(VALUE(TRIM(SUBSTITUTE($AH39,CHAR(160),""))),0)),
$BE39="Devis 3",
IF(ISBLANK(BB39),"",IFERROR(VALUE(TRIM(SUBSTITUTE(BB39,CHAR(160),""))),0)*IFERROR(VALUE(TRIM(SUBSTITUTE($AH39,CHAR(160),""))),0)),
TRUE,0
)
)</f>
        <v/>
      </c>
      <c r="BK39" s="281" t="str" cm="1">
        <f t="array" ref="BK39">IF($AH39="","",
_xlfn.IFS(
$BE39="Devis 1",
IF(ISBLANK(AS39),"",IFERROR(VALUE(TRIM(SUBSTITUTE(AS39,CHAR(160),""))),0)*IFERROR(VALUE(TRIM(SUBSTITUTE($AH39,CHAR(160),""))),0)),
$BE39="Devis 2",
IF(ISBLANK(AX39),"",IFERROR(VALUE(TRIM(SUBSTITUTE(AX39,CHAR(160),""))),0)*IFERROR(VALUE(TRIM(SUBSTITUTE($AH39,CHAR(160),""))),0)),
$BE39="Devis 3",
IF(ISBLANK(BC39),"",IFERROR(VALUE(TRIM(SUBSTITUTE(BC39,CHAR(160),""))),0)*IFERROR(VALUE(TRIM(SUBSTITUTE($AH39,CHAR(160),""))),0)),
TRUE,0
)
)</f>
        <v/>
      </c>
      <c r="BL39" s="281" t="str">
        <f t="shared" si="43"/>
        <v/>
      </c>
      <c r="BM39" s="602"/>
      <c r="BN39" s="23" t="str" cm="1">
        <f t="array" ref="BN39">IF(OR(BL39="",BI39="",BJ39="",BG39="",BK39="",BH39=""),"",_xlfn.IFS(
ROUND(IFERROR(VALUE(TRIM(SUBSTITUTE(BL39,CHAR(160),""))),0),2)&gt;
ROUND(IFERROR(VALUE(TRIM(SUBSTITUTE(BI39,CHAR(160),""))),0),2),
"KO : Le montant retenu TTC est supérieur au montant raisonnable TTC. Merci de revoir la ligne de dépense ou plafonner son montant.",
ROUND(IFERROR(VALUE(TRIM(SUBSTITUTE(BJ39,CHAR(160),""))),0),2)&gt;
ROUND(IFERROR(VALUE(TRIM(SUBSTITUTE(BG39,CHAR(160),""))),0),2),
"Attention : Le montant retenu HT est supérieur au montant HT raisonnable. Merci de revoir la ligne de dépense, plafonner son montant, ou justifier la reventillation HT / TVA.",
ROUND(IFERROR(VALUE(TRIM(SUBSTITUTE(BK39,CHAR(160),""))),0),2)&gt;
ROUND(IFERROR(VALUE(TRIM(SUBSTITUTE(BH39,CHAR(160),""))),0),2),
"Attention : Le montant TVA retenu est supérieur au montant TVA raisonnable. Merci de revoir la ligne de dépense, plafonner son montant, ou justifier la reventillation HT / TVA.",
ROUND(IFERROR(VALUE(TRIM(SUBSTITUTE(BL39,CHAR(160),""))),0),2)&gt;
ROUND(IFERROR(VALUE(TRIM(SUBSTITUTE(MIN(P39,U39,Z39),CHAR(160),""))),0),2),
"Attention : Le devis retenu n'est pas le moins cher. Une justification de la part du porteur est nécessaire.",
ROUND(IFERROR(VALUE(TRIM(SUBSTITUTE(BL39,CHAR(160),""))),0),2)=0,
"Attention : montant présenté entièrement écarté",
ROUND(IFERROR(VALUE(TRIM(SUBSTITUTE(BI39,CHAR(160),""))),0),2)=
ROUND(IFERROR(VALUE(TRIM(SUBSTITUTE(BL39,CHAR(160),""))),0),2),
"OK",
ROUND(IFERROR(VALUE(TRIM(SUBSTITUTE(BI39,CHAR(160),""))),0),2)&gt;
ROUND(IFERROR(VALUE(TRIM(SUBSTITUTE(BL39,CHAR(160),""))),0),2),
" OK : Montant instruit inférieur au montant raisonnable.",
TRUE,""
))</f>
        <v/>
      </c>
      <c r="BO39" s="23" t="str" cm="1">
        <f t="array" ref="BO39">IF(OR(BL39="",AD39="",BJ39="",AB39="",BK39="",AC39=""),"",_xlfn.IFS(
ROUND(IFERROR(VALUE(TRIM(SUBSTITUTE(BL39,CHAR(160),""))),0),2)&gt;
ROUND(IFERROR(VALUE(TRIM(SUBSTITUTE(AD39,CHAR(160),""))),0),2),
"KO : Le montant retenu TTC est supérieur au montant présenté TTC. Merci de revoir la ligne de dépense ou plafonner son montant.",
ROUND(IFERROR(VALUE(TRIM(SUBSTITUTE(BJ39,CHAR(160),""))),0),2)&gt;
ROUND(IFERROR(VALUE(TRIM(SUBSTITUTE(AB39,CHAR(160),""))),0),2),
"Attention : Le montant retenu HT est supérieur au montant HT présenté. Merci de revoir la ligne de dépense, plafonner son montant, ou justifier la reventillation HT / TVA.",
ROUND(IFERROR(VALUE(TRIM(SUBSTITUTE(BK39,CHAR(160),""))),0),2)&gt;
ROUND(IFERROR(VALUE(TRIM(SUBSTITUTE(AC39,CHAR(160),""))),0),2),
"Attention : Le montant TVA retenu est supérieur au montant TVA présenté. Merci de revoir la ligne de dépense, plafonner son montant, ou justifier la reventillation HT / TVA.",
ROUND(IFERROR(VALUE(TRIM(SUBSTITUTE(AD39,CHAR(160),""))),0),2)=0,
"",
ROUND(IFERROR(VALUE(TRIM(SUBSTITUTE(BL39,CHAR(160),""))),0),2)=
ROUND(IFERROR(VALUE(TRIM(SUBSTITUTE(AD39,CHAR(160),""))),0),2),
"OK",
ROUND(IFERROR(VALUE(TRIM(SUBSTITUTE(BL39,CHAR(160),""))),0),2)=0,
"Attention : Montant présenté entièrement rejeté.",
ROUND(IFERROR(VALUE(TRIM(SUBSTITUTE(BL39,CHAR(160),""))),0),2)&lt;
ROUND(IFERROR(VALUE(TRIM(SUBSTITUTE(AD39,CHAR(160),""))),0),2),
"Attention : Montant présenté partiellement rejeté.",
TRUE,""
))</f>
        <v/>
      </c>
      <c r="BP39" s="113" t="str">
        <f t="shared" si="44"/>
        <v/>
      </c>
      <c r="BQ39" s="113" t="str">
        <f t="shared" si="45"/>
        <v/>
      </c>
      <c r="BR39" s="33" t="str">
        <f t="shared" si="46"/>
        <v/>
      </c>
    </row>
    <row r="40" spans="1:70" ht="15" customHeight="1">
      <c r="A40" s="193">
        <v>32</v>
      </c>
      <c r="B40" s="7"/>
      <c r="C40" s="7"/>
      <c r="D40" s="19"/>
      <c r="E40" s="7"/>
      <c r="F40" s="7"/>
      <c r="G40" s="7"/>
      <c r="H40" s="7"/>
      <c r="I40" s="28"/>
      <c r="J40" s="7"/>
      <c r="K40" s="29"/>
      <c r="L40" s="678"/>
      <c r="M40" s="7"/>
      <c r="N40" s="672"/>
      <c r="O40" s="11"/>
      <c r="P40" s="107" t="str">
        <f t="shared" si="48"/>
        <v/>
      </c>
      <c r="Q40" s="699"/>
      <c r="R40" s="702"/>
      <c r="S40" s="684"/>
      <c r="T40" s="11"/>
      <c r="U40" s="107" t="str">
        <f t="shared" si="49"/>
        <v/>
      </c>
      <c r="V40" s="695"/>
      <c r="W40" s="685"/>
      <c r="X40" s="707"/>
      <c r="Y40" s="684"/>
      <c r="Z40" s="108" t="str">
        <f t="shared" si="50"/>
        <v/>
      </c>
      <c r="AA40" s="25"/>
      <c r="AB40" s="287" t="str" cm="1">
        <f t="array" ref="AB40">IF((_xlfn.IFS(TRIM(SUBSTITUTE(AA40,CHAR(160),""))="Devis 1",IFERROR(VALUE(TRIM(SUBSTITUTE(N40,CHAR(160),""))),0),TRIM(SUBSTITUTE(AA40,CHAR(160),""))="Devis 2",IFERROR(VALUE(TRIM(SUBSTITUTE(S40,CHAR(160),""))),0),TRIM(SUBSTITUTE(AA40,CHAR(160),""))="Devis 3",IFERROR(VALUE(TRIM(SUBSTITUTE(X40,CHAR(160),""))),0),TRUE,0)*IFERROR(VALUE(TRIM(SUBSTITUTE(D40,CHAR(160),""))),0))=0,"",_xlfn.IFS(TRIM(SUBSTITUTE(AA40,CHAR(160),""))="Devis 1",IFERROR(VALUE(TRIM(SUBSTITUTE(N40,CHAR(160),""))),0),TRIM(SUBSTITUTE(AA40,CHAR(160),""))="Devis 2",IFERROR(VALUE(TRIM(SUBSTITUTE(S40,CHAR(160),""))),0),TRIM(SUBSTITUTE(AA40,CHAR(160),""))="Devis 3",IFERROR(VALUE(TRIM(SUBSTITUTE(X40,CHAR(160),""))),0),TRUE,0)*IFERROR(VALUE(TRIM(SUBSTITUTE(D40,CHAR(160),""))),0))</f>
        <v/>
      </c>
      <c r="AC40" s="275" t="str" cm="1">
        <f t="array" ref="AC40">IF(_xlfn.IFS(TRIM(SUBSTITUTE(AA40,CHAR(160),""))="Devis 1",IFERROR(VALUE(TRIM(SUBSTITUTE(O40,CHAR(160),""))),0),TRIM(SUBSTITUTE(AA40,CHAR(160),""))="Devis 2",IFERROR(VALUE(TRIM(SUBSTITUTE(T40,CHAR(160),""))),0),TRIM(SUBSTITUTE(AA40,CHAR(160),""))="Devis 3",IFERROR(VALUE(TRIM(SUBSTITUTE(Y40,CHAR(160),""))),0),TRUE,0)*IFERROR(VALUE(TRIM(SUBSTITUTE(D40,CHAR(160),""))),0)=0,IF(AB40&lt;&gt;"",0,""),_xlfn.IFS(TRIM(SUBSTITUTE(AA40,CHAR(160),""))="Devis 1",IFERROR(VALUE(TRIM(SUBSTITUTE(O40,CHAR(160),""))),0),TRIM(SUBSTITUTE(AA40,CHAR(160),""))="Devis 2",IFERROR(VALUE(TRIM(SUBSTITUTE(T40,CHAR(160),""))),0),TRIM(SUBSTITUTE(AA40,CHAR(160),""))="Devis 3",IFERROR(VALUE(TRIM(SUBSTITUTE(Y40,CHAR(160),""))),0),TRUE,0)*IFERROR(VALUE(TRIM(SUBSTITUTE(D40,CHAR(160),""))),0))</f>
        <v/>
      </c>
      <c r="AD40" s="285" t="str">
        <f t="shared" si="51"/>
        <v/>
      </c>
      <c r="AE40" s="26"/>
      <c r="AF40" s="109" t="str">
        <f t="shared" si="14"/>
        <v/>
      </c>
      <c r="AG40" s="109" t="str">
        <f t="shared" si="15"/>
        <v/>
      </c>
      <c r="AH40" s="885" t="str">
        <f t="shared" si="16"/>
        <v/>
      </c>
      <c r="AI40" s="109" t="str">
        <f t="shared" si="17"/>
        <v/>
      </c>
      <c r="AJ40" s="109" t="str">
        <f t="shared" si="18"/>
        <v/>
      </c>
      <c r="AK40" s="109" t="str">
        <f t="shared" si="19"/>
        <v/>
      </c>
      <c r="AL40" s="109" t="str">
        <f t="shared" si="20"/>
        <v/>
      </c>
      <c r="AM40" s="109" t="str">
        <f t="shared" si="21"/>
        <v/>
      </c>
      <c r="AN40" s="109" t="str">
        <f t="shared" si="22"/>
        <v/>
      </c>
      <c r="AO40" s="109" t="str">
        <f t="shared" si="23"/>
        <v/>
      </c>
      <c r="AP40" s="754" t="str">
        <f t="shared" si="24"/>
        <v/>
      </c>
      <c r="AQ40" s="755" t="str">
        <f t="shared" si="25"/>
        <v/>
      </c>
      <c r="AR40" s="195" t="str">
        <f t="shared" si="26"/>
        <v/>
      </c>
      <c r="AS40" s="195" t="str">
        <f t="shared" si="27"/>
        <v/>
      </c>
      <c r="AT40" s="664" t="str">
        <f t="shared" si="28"/>
        <v/>
      </c>
      <c r="AU40" s="756" t="str">
        <f t="shared" si="29"/>
        <v/>
      </c>
      <c r="AV40" s="195" t="str">
        <f t="shared" si="30"/>
        <v/>
      </c>
      <c r="AW40" s="195" t="str">
        <f t="shared" si="31"/>
        <v/>
      </c>
      <c r="AX40" s="195" t="str">
        <f t="shared" si="32"/>
        <v/>
      </c>
      <c r="AY40" s="728" t="str">
        <f t="shared" si="33"/>
        <v/>
      </c>
      <c r="AZ40" s="195" t="str">
        <f t="shared" si="34"/>
        <v/>
      </c>
      <c r="BA40" s="195" t="str">
        <f t="shared" si="35"/>
        <v/>
      </c>
      <c r="BB40" s="195" t="str">
        <f t="shared" si="36"/>
        <v/>
      </c>
      <c r="BC40" s="195" t="str">
        <f t="shared" si="37"/>
        <v/>
      </c>
      <c r="BD40" s="112" t="str">
        <f t="shared" si="38"/>
        <v/>
      </c>
      <c r="BE40" s="109" t="str">
        <f t="shared" si="39"/>
        <v/>
      </c>
      <c r="BF40" s="602"/>
      <c r="BG40" s="113" t="str">
        <f t="shared" si="40"/>
        <v/>
      </c>
      <c r="BH40" s="113" t="str">
        <f t="shared" si="41"/>
        <v/>
      </c>
      <c r="BI40" s="113" t="str">
        <f t="shared" si="42"/>
        <v/>
      </c>
      <c r="BJ40" s="281" t="str" cm="1">
        <f t="array" ref="BJ40">IF($AH40="","",
_xlfn.IFS(
$BE40="Devis 1",
IF(ISBLANK(AR40),"",IFERROR(VALUE(TRIM(SUBSTITUTE(AR40,CHAR(160),""))),0)*IFERROR(VALUE(TRIM(SUBSTITUTE($AH40,CHAR(160),""))),0)),
$BE40="Devis 2",
IF(ISBLANK(AW40),"",IFERROR(VALUE(TRIM(SUBSTITUTE(AW40,CHAR(160),""))),0)*IFERROR(VALUE(TRIM(SUBSTITUTE($AH40,CHAR(160),""))),0)),
$BE40="Devis 3",
IF(ISBLANK(BB40),"",IFERROR(VALUE(TRIM(SUBSTITUTE(BB40,CHAR(160),""))),0)*IFERROR(VALUE(TRIM(SUBSTITUTE($AH40,CHAR(160),""))),0)),
TRUE,0
)
)</f>
        <v/>
      </c>
      <c r="BK40" s="281" t="str" cm="1">
        <f t="array" ref="BK40">IF($AH40="","",
_xlfn.IFS(
$BE40="Devis 1",
IF(ISBLANK(AS40),"",IFERROR(VALUE(TRIM(SUBSTITUTE(AS40,CHAR(160),""))),0)*IFERROR(VALUE(TRIM(SUBSTITUTE($AH40,CHAR(160),""))),0)),
$BE40="Devis 2",
IF(ISBLANK(AX40),"",IFERROR(VALUE(TRIM(SUBSTITUTE(AX40,CHAR(160),""))),0)*IFERROR(VALUE(TRIM(SUBSTITUTE($AH40,CHAR(160),""))),0)),
$BE40="Devis 3",
IF(ISBLANK(BC40),"",IFERROR(VALUE(TRIM(SUBSTITUTE(BC40,CHAR(160),""))),0)*IFERROR(VALUE(TRIM(SUBSTITUTE($AH40,CHAR(160),""))),0)),
TRUE,0
)
)</f>
        <v/>
      </c>
      <c r="BL40" s="281" t="str">
        <f t="shared" si="43"/>
        <v/>
      </c>
      <c r="BM40" s="602"/>
      <c r="BN40" s="23" t="str" cm="1">
        <f t="array" ref="BN40">IF(OR(BL40="",BI40="",BJ40="",BG40="",BK40="",BH40=""),"",_xlfn.IFS(
ROUND(IFERROR(VALUE(TRIM(SUBSTITUTE(BL40,CHAR(160),""))),0),2)&gt;
ROUND(IFERROR(VALUE(TRIM(SUBSTITUTE(BI40,CHAR(160),""))),0),2),
"KO : Le montant retenu TTC est supérieur au montant raisonnable TTC. Merci de revoir la ligne de dépense ou plafonner son montant.",
ROUND(IFERROR(VALUE(TRIM(SUBSTITUTE(BJ40,CHAR(160),""))),0),2)&gt;
ROUND(IFERROR(VALUE(TRIM(SUBSTITUTE(BG40,CHAR(160),""))),0),2),
"Attention : Le montant retenu HT est supérieur au montant HT raisonnable. Merci de revoir la ligne de dépense, plafonner son montant, ou justifier la reventillation HT / TVA.",
ROUND(IFERROR(VALUE(TRIM(SUBSTITUTE(BK40,CHAR(160),""))),0),2)&gt;
ROUND(IFERROR(VALUE(TRIM(SUBSTITUTE(BH40,CHAR(160),""))),0),2),
"Attention : Le montant TVA retenu est supérieur au montant TVA raisonnable. Merci de revoir la ligne de dépense, plafonner son montant, ou justifier la reventillation HT / TVA.",
ROUND(IFERROR(VALUE(TRIM(SUBSTITUTE(BL40,CHAR(160),""))),0),2)&gt;
ROUND(IFERROR(VALUE(TRIM(SUBSTITUTE(MIN(P40,U40,Z40),CHAR(160),""))),0),2),
"Attention : Le devis retenu n'est pas le moins cher. Une justification de la part du porteur est nécessaire.",
ROUND(IFERROR(VALUE(TRIM(SUBSTITUTE(BL40,CHAR(160),""))),0),2)=0,
"Attention : montant présenté entièrement écarté",
ROUND(IFERROR(VALUE(TRIM(SUBSTITUTE(BI40,CHAR(160),""))),0),2)=
ROUND(IFERROR(VALUE(TRIM(SUBSTITUTE(BL40,CHAR(160),""))),0),2),
"OK",
ROUND(IFERROR(VALUE(TRIM(SUBSTITUTE(BI40,CHAR(160),""))),0),2)&gt;
ROUND(IFERROR(VALUE(TRIM(SUBSTITUTE(BL40,CHAR(160),""))),0),2),
" OK : Montant instruit inférieur au montant raisonnable.",
TRUE,""
))</f>
        <v/>
      </c>
      <c r="BO40" s="23" t="str" cm="1">
        <f t="array" ref="BO40">IF(OR(BL40="",AD40="",BJ40="",AB40="",BK40="",AC40=""),"",_xlfn.IFS(
ROUND(IFERROR(VALUE(TRIM(SUBSTITUTE(BL40,CHAR(160),""))),0),2)&gt;
ROUND(IFERROR(VALUE(TRIM(SUBSTITUTE(AD40,CHAR(160),""))),0),2),
"KO : Le montant retenu TTC est supérieur au montant présenté TTC. Merci de revoir la ligne de dépense ou plafonner son montant.",
ROUND(IFERROR(VALUE(TRIM(SUBSTITUTE(BJ40,CHAR(160),""))),0),2)&gt;
ROUND(IFERROR(VALUE(TRIM(SUBSTITUTE(AB40,CHAR(160),""))),0),2),
"Attention : Le montant retenu HT est supérieur au montant HT présenté. Merci de revoir la ligne de dépense, plafonner son montant, ou justifier la reventillation HT / TVA.",
ROUND(IFERROR(VALUE(TRIM(SUBSTITUTE(BK40,CHAR(160),""))),0),2)&gt;
ROUND(IFERROR(VALUE(TRIM(SUBSTITUTE(AC40,CHAR(160),""))),0),2),
"Attention : Le montant TVA retenu est supérieur au montant TVA présenté. Merci de revoir la ligne de dépense, plafonner son montant, ou justifier la reventillation HT / TVA.",
ROUND(IFERROR(VALUE(TRIM(SUBSTITUTE(AD40,CHAR(160),""))),0),2)=0,
"",
ROUND(IFERROR(VALUE(TRIM(SUBSTITUTE(BL40,CHAR(160),""))),0),2)=
ROUND(IFERROR(VALUE(TRIM(SUBSTITUTE(AD40,CHAR(160),""))),0),2),
"OK",
ROUND(IFERROR(VALUE(TRIM(SUBSTITUTE(BL40,CHAR(160),""))),0),2)=0,
"Attention : Montant présenté entièrement rejeté.",
ROUND(IFERROR(VALUE(TRIM(SUBSTITUTE(BL40,CHAR(160),""))),0),2)&lt;
ROUND(IFERROR(VALUE(TRIM(SUBSTITUTE(AD40,CHAR(160),""))),0),2),
"Attention : Montant présenté partiellement rejeté.",
TRUE,""
))</f>
        <v/>
      </c>
      <c r="BP40" s="113" t="str">
        <f t="shared" si="44"/>
        <v/>
      </c>
      <c r="BQ40" s="113" t="str">
        <f t="shared" si="45"/>
        <v/>
      </c>
      <c r="BR40" s="33" t="str">
        <f t="shared" si="46"/>
        <v/>
      </c>
    </row>
    <row r="41" spans="1:70" ht="15" customHeight="1">
      <c r="A41" s="193">
        <v>33</v>
      </c>
      <c r="B41" s="7"/>
      <c r="C41" s="7"/>
      <c r="D41" s="19"/>
      <c r="E41" s="7"/>
      <c r="F41" s="7"/>
      <c r="G41" s="7"/>
      <c r="H41" s="7"/>
      <c r="I41" s="28"/>
      <c r="J41" s="7"/>
      <c r="K41" s="29"/>
      <c r="L41" s="678"/>
      <c r="M41" s="7"/>
      <c r="N41" s="672"/>
      <c r="O41" s="11"/>
      <c r="P41" s="107" t="str">
        <f t="shared" si="48"/>
        <v/>
      </c>
      <c r="Q41" s="699"/>
      <c r="R41" s="702"/>
      <c r="S41" s="684"/>
      <c r="T41" s="11"/>
      <c r="U41" s="107" t="str">
        <f t="shared" si="49"/>
        <v/>
      </c>
      <c r="V41" s="695"/>
      <c r="W41" s="685"/>
      <c r="X41" s="707"/>
      <c r="Y41" s="684"/>
      <c r="Z41" s="108" t="str">
        <f t="shared" si="50"/>
        <v/>
      </c>
      <c r="AA41" s="25"/>
      <c r="AB41" s="287" t="str" cm="1">
        <f t="array" ref="AB41">IF((_xlfn.IFS(TRIM(SUBSTITUTE(AA41,CHAR(160),""))="Devis 1",IFERROR(VALUE(TRIM(SUBSTITUTE(N41,CHAR(160),""))),0),TRIM(SUBSTITUTE(AA41,CHAR(160),""))="Devis 2",IFERROR(VALUE(TRIM(SUBSTITUTE(S41,CHAR(160),""))),0),TRIM(SUBSTITUTE(AA41,CHAR(160),""))="Devis 3",IFERROR(VALUE(TRIM(SUBSTITUTE(X41,CHAR(160),""))),0),TRUE,0)*IFERROR(VALUE(TRIM(SUBSTITUTE(D41,CHAR(160),""))),0))=0,"",_xlfn.IFS(TRIM(SUBSTITUTE(AA41,CHAR(160),""))="Devis 1",IFERROR(VALUE(TRIM(SUBSTITUTE(N41,CHAR(160),""))),0),TRIM(SUBSTITUTE(AA41,CHAR(160),""))="Devis 2",IFERROR(VALUE(TRIM(SUBSTITUTE(S41,CHAR(160),""))),0),TRIM(SUBSTITUTE(AA41,CHAR(160),""))="Devis 3",IFERROR(VALUE(TRIM(SUBSTITUTE(X41,CHAR(160),""))),0),TRUE,0)*IFERROR(VALUE(TRIM(SUBSTITUTE(D41,CHAR(160),""))),0))</f>
        <v/>
      </c>
      <c r="AC41" s="275" t="str" cm="1">
        <f t="array" ref="AC41">IF(_xlfn.IFS(TRIM(SUBSTITUTE(AA41,CHAR(160),""))="Devis 1",IFERROR(VALUE(TRIM(SUBSTITUTE(O41,CHAR(160),""))),0),TRIM(SUBSTITUTE(AA41,CHAR(160),""))="Devis 2",IFERROR(VALUE(TRIM(SUBSTITUTE(T41,CHAR(160),""))),0),TRIM(SUBSTITUTE(AA41,CHAR(160),""))="Devis 3",IFERROR(VALUE(TRIM(SUBSTITUTE(Y41,CHAR(160),""))),0),TRUE,0)*IFERROR(VALUE(TRIM(SUBSTITUTE(D41,CHAR(160),""))),0)=0,IF(AB41&lt;&gt;"",0,""),_xlfn.IFS(TRIM(SUBSTITUTE(AA41,CHAR(160),""))="Devis 1",IFERROR(VALUE(TRIM(SUBSTITUTE(O41,CHAR(160),""))),0),TRIM(SUBSTITUTE(AA41,CHAR(160),""))="Devis 2",IFERROR(VALUE(TRIM(SUBSTITUTE(T41,CHAR(160),""))),0),TRIM(SUBSTITUTE(AA41,CHAR(160),""))="Devis 3",IFERROR(VALUE(TRIM(SUBSTITUTE(Y41,CHAR(160),""))),0),TRUE,0)*IFERROR(VALUE(TRIM(SUBSTITUTE(D41,CHAR(160),""))),0))</f>
        <v/>
      </c>
      <c r="AD41" s="285" t="str">
        <f t="shared" si="51"/>
        <v/>
      </c>
      <c r="AE41" s="26"/>
      <c r="AF41" s="109" t="str">
        <f t="shared" si="14"/>
        <v/>
      </c>
      <c r="AG41" s="109" t="str">
        <f t="shared" si="15"/>
        <v/>
      </c>
      <c r="AH41" s="885" t="str">
        <f t="shared" si="16"/>
        <v/>
      </c>
      <c r="AI41" s="109" t="str">
        <f t="shared" si="17"/>
        <v/>
      </c>
      <c r="AJ41" s="109" t="str">
        <f t="shared" si="18"/>
        <v/>
      </c>
      <c r="AK41" s="109" t="str">
        <f t="shared" si="19"/>
        <v/>
      </c>
      <c r="AL41" s="109" t="str">
        <f t="shared" si="20"/>
        <v/>
      </c>
      <c r="AM41" s="109" t="str">
        <f t="shared" si="21"/>
        <v/>
      </c>
      <c r="AN41" s="109" t="str">
        <f t="shared" si="22"/>
        <v/>
      </c>
      <c r="AO41" s="109" t="str">
        <f t="shared" si="23"/>
        <v/>
      </c>
      <c r="AP41" s="754" t="str">
        <f t="shared" si="24"/>
        <v/>
      </c>
      <c r="AQ41" s="755" t="str">
        <f t="shared" si="25"/>
        <v/>
      </c>
      <c r="AR41" s="195" t="str">
        <f t="shared" si="26"/>
        <v/>
      </c>
      <c r="AS41" s="195" t="str">
        <f t="shared" si="27"/>
        <v/>
      </c>
      <c r="AT41" s="664" t="str">
        <f t="shared" si="28"/>
        <v/>
      </c>
      <c r="AU41" s="756" t="str">
        <f t="shared" si="29"/>
        <v/>
      </c>
      <c r="AV41" s="195" t="str">
        <f t="shared" si="30"/>
        <v/>
      </c>
      <c r="AW41" s="195" t="str">
        <f t="shared" si="31"/>
        <v/>
      </c>
      <c r="AX41" s="195" t="str">
        <f t="shared" si="32"/>
        <v/>
      </c>
      <c r="AY41" s="728" t="str">
        <f t="shared" si="33"/>
        <v/>
      </c>
      <c r="AZ41" s="195" t="str">
        <f t="shared" si="34"/>
        <v/>
      </c>
      <c r="BA41" s="195" t="str">
        <f t="shared" si="35"/>
        <v/>
      </c>
      <c r="BB41" s="195" t="str">
        <f t="shared" si="36"/>
        <v/>
      </c>
      <c r="BC41" s="195" t="str">
        <f t="shared" si="37"/>
        <v/>
      </c>
      <c r="BD41" s="112" t="str">
        <f t="shared" si="38"/>
        <v/>
      </c>
      <c r="BE41" s="109" t="str">
        <f t="shared" si="39"/>
        <v/>
      </c>
      <c r="BF41" s="602"/>
      <c r="BG41" s="113" t="str">
        <f t="shared" si="40"/>
        <v/>
      </c>
      <c r="BH41" s="113" t="str">
        <f t="shared" si="41"/>
        <v/>
      </c>
      <c r="BI41" s="113" t="str">
        <f t="shared" si="42"/>
        <v/>
      </c>
      <c r="BJ41" s="281" t="str" cm="1">
        <f t="array" ref="BJ41">IF($AH41="","",
_xlfn.IFS(
$BE41="Devis 1",
IF(ISBLANK(AR41),"",IFERROR(VALUE(TRIM(SUBSTITUTE(AR41,CHAR(160),""))),0)*IFERROR(VALUE(TRIM(SUBSTITUTE($AH41,CHAR(160),""))),0)),
$BE41="Devis 2",
IF(ISBLANK(AW41),"",IFERROR(VALUE(TRIM(SUBSTITUTE(AW41,CHAR(160),""))),0)*IFERROR(VALUE(TRIM(SUBSTITUTE($AH41,CHAR(160),""))),0)),
$BE41="Devis 3",
IF(ISBLANK(BB41),"",IFERROR(VALUE(TRIM(SUBSTITUTE(BB41,CHAR(160),""))),0)*IFERROR(VALUE(TRIM(SUBSTITUTE($AH41,CHAR(160),""))),0)),
TRUE,0
)
)</f>
        <v/>
      </c>
      <c r="BK41" s="281" t="str" cm="1">
        <f t="array" ref="BK41">IF($AH41="","",
_xlfn.IFS(
$BE41="Devis 1",
IF(ISBLANK(AS41),"",IFERROR(VALUE(TRIM(SUBSTITUTE(AS41,CHAR(160),""))),0)*IFERROR(VALUE(TRIM(SUBSTITUTE($AH41,CHAR(160),""))),0)),
$BE41="Devis 2",
IF(ISBLANK(AX41),"",IFERROR(VALUE(TRIM(SUBSTITUTE(AX41,CHAR(160),""))),0)*IFERROR(VALUE(TRIM(SUBSTITUTE($AH41,CHAR(160),""))),0)),
$BE41="Devis 3",
IF(ISBLANK(BC41),"",IFERROR(VALUE(TRIM(SUBSTITUTE(BC41,CHAR(160),""))),0)*IFERROR(VALUE(TRIM(SUBSTITUTE($AH41,CHAR(160),""))),0)),
TRUE,0
)
)</f>
        <v/>
      </c>
      <c r="BL41" s="281" t="str">
        <f t="shared" si="43"/>
        <v/>
      </c>
      <c r="BM41" s="602"/>
      <c r="BN41" s="23" t="str" cm="1">
        <f t="array" ref="BN41">IF(OR(BL41="",BI41="",BJ41="",BG41="",BK41="",BH41=""),"",_xlfn.IFS(
ROUND(IFERROR(VALUE(TRIM(SUBSTITUTE(BL41,CHAR(160),""))),0),2)&gt;
ROUND(IFERROR(VALUE(TRIM(SUBSTITUTE(BI41,CHAR(160),""))),0),2),
"KO : Le montant retenu TTC est supérieur au montant raisonnable TTC. Merci de revoir la ligne de dépense ou plafonner son montant.",
ROUND(IFERROR(VALUE(TRIM(SUBSTITUTE(BJ41,CHAR(160),""))),0),2)&gt;
ROUND(IFERROR(VALUE(TRIM(SUBSTITUTE(BG41,CHAR(160),""))),0),2),
"Attention : Le montant retenu HT est supérieur au montant HT raisonnable. Merci de revoir la ligne de dépense, plafonner son montant, ou justifier la reventillation HT / TVA.",
ROUND(IFERROR(VALUE(TRIM(SUBSTITUTE(BK41,CHAR(160),""))),0),2)&gt;
ROUND(IFERROR(VALUE(TRIM(SUBSTITUTE(BH41,CHAR(160),""))),0),2),
"Attention : Le montant TVA retenu est supérieur au montant TVA raisonnable. Merci de revoir la ligne de dépense, plafonner son montant, ou justifier la reventillation HT / TVA.",
ROUND(IFERROR(VALUE(TRIM(SUBSTITUTE(BL41,CHAR(160),""))),0),2)&gt;
ROUND(IFERROR(VALUE(TRIM(SUBSTITUTE(MIN(P41,U41,Z41),CHAR(160),""))),0),2),
"Attention : Le devis retenu n'est pas le moins cher. Une justification de la part du porteur est nécessaire.",
ROUND(IFERROR(VALUE(TRIM(SUBSTITUTE(BL41,CHAR(160),""))),0),2)=0,
"Attention : montant présenté entièrement écarté",
ROUND(IFERROR(VALUE(TRIM(SUBSTITUTE(BI41,CHAR(160),""))),0),2)=
ROUND(IFERROR(VALUE(TRIM(SUBSTITUTE(BL41,CHAR(160),""))),0),2),
"OK",
ROUND(IFERROR(VALUE(TRIM(SUBSTITUTE(BI41,CHAR(160),""))),0),2)&gt;
ROUND(IFERROR(VALUE(TRIM(SUBSTITUTE(BL41,CHAR(160),""))),0),2),
" OK : Montant instruit inférieur au montant raisonnable.",
TRUE,""
))</f>
        <v/>
      </c>
      <c r="BO41" s="23" t="str" cm="1">
        <f t="array" ref="BO41">IF(OR(BL41="",AD41="",BJ41="",AB41="",BK41="",AC41=""),"",_xlfn.IFS(
ROUND(IFERROR(VALUE(TRIM(SUBSTITUTE(BL41,CHAR(160),""))),0),2)&gt;
ROUND(IFERROR(VALUE(TRIM(SUBSTITUTE(AD41,CHAR(160),""))),0),2),
"KO : Le montant retenu TTC est supérieur au montant présenté TTC. Merci de revoir la ligne de dépense ou plafonner son montant.",
ROUND(IFERROR(VALUE(TRIM(SUBSTITUTE(BJ41,CHAR(160),""))),0),2)&gt;
ROUND(IFERROR(VALUE(TRIM(SUBSTITUTE(AB41,CHAR(160),""))),0),2),
"Attention : Le montant retenu HT est supérieur au montant HT présenté. Merci de revoir la ligne de dépense, plafonner son montant, ou justifier la reventillation HT / TVA.",
ROUND(IFERROR(VALUE(TRIM(SUBSTITUTE(BK41,CHAR(160),""))),0),2)&gt;
ROUND(IFERROR(VALUE(TRIM(SUBSTITUTE(AC41,CHAR(160),""))),0),2),
"Attention : Le montant TVA retenu est supérieur au montant TVA présenté. Merci de revoir la ligne de dépense, plafonner son montant, ou justifier la reventillation HT / TVA.",
ROUND(IFERROR(VALUE(TRIM(SUBSTITUTE(AD41,CHAR(160),""))),0),2)=0,
"",
ROUND(IFERROR(VALUE(TRIM(SUBSTITUTE(BL41,CHAR(160),""))),0),2)=
ROUND(IFERROR(VALUE(TRIM(SUBSTITUTE(AD41,CHAR(160),""))),0),2),
"OK",
ROUND(IFERROR(VALUE(TRIM(SUBSTITUTE(BL41,CHAR(160),""))),0),2)=0,
"Attention : Montant présenté entièrement rejeté.",
ROUND(IFERROR(VALUE(TRIM(SUBSTITUTE(BL41,CHAR(160),""))),0),2)&lt;
ROUND(IFERROR(VALUE(TRIM(SUBSTITUTE(AD41,CHAR(160),""))),0),2),
"Attention : Montant présenté partiellement rejeté.",
TRUE,""
))</f>
        <v/>
      </c>
      <c r="BP41" s="113" t="str">
        <f t="shared" si="44"/>
        <v/>
      </c>
      <c r="BQ41" s="113" t="str">
        <f t="shared" si="45"/>
        <v/>
      </c>
      <c r="BR41" s="33" t="str">
        <f t="shared" si="46"/>
        <v/>
      </c>
    </row>
    <row r="42" spans="1:70" ht="15" customHeight="1">
      <c r="A42" s="193">
        <v>34</v>
      </c>
      <c r="B42" s="7"/>
      <c r="C42" s="7"/>
      <c r="D42" s="19"/>
      <c r="E42" s="7"/>
      <c r="F42" s="7"/>
      <c r="G42" s="7"/>
      <c r="H42" s="7"/>
      <c r="I42" s="28"/>
      <c r="J42" s="7"/>
      <c r="K42" s="29"/>
      <c r="L42" s="678"/>
      <c r="M42" s="7"/>
      <c r="N42" s="672"/>
      <c r="O42" s="11"/>
      <c r="P42" s="107" t="str">
        <f t="shared" si="48"/>
        <v/>
      </c>
      <c r="Q42" s="699"/>
      <c r="R42" s="702"/>
      <c r="S42" s="684"/>
      <c r="T42" s="11"/>
      <c r="U42" s="107" t="str">
        <f t="shared" si="49"/>
        <v/>
      </c>
      <c r="V42" s="695"/>
      <c r="W42" s="685"/>
      <c r="X42" s="707"/>
      <c r="Y42" s="684"/>
      <c r="Z42" s="108" t="str">
        <f t="shared" si="50"/>
        <v/>
      </c>
      <c r="AA42" s="25"/>
      <c r="AB42" s="287" t="str" cm="1">
        <f t="array" ref="AB42">IF((_xlfn.IFS(TRIM(SUBSTITUTE(AA42,CHAR(160),""))="Devis 1",IFERROR(VALUE(TRIM(SUBSTITUTE(N42,CHAR(160),""))),0),TRIM(SUBSTITUTE(AA42,CHAR(160),""))="Devis 2",IFERROR(VALUE(TRIM(SUBSTITUTE(S42,CHAR(160),""))),0),TRIM(SUBSTITUTE(AA42,CHAR(160),""))="Devis 3",IFERROR(VALUE(TRIM(SUBSTITUTE(X42,CHAR(160),""))),0),TRUE,0)*IFERROR(VALUE(TRIM(SUBSTITUTE(D42,CHAR(160),""))),0))=0,"",_xlfn.IFS(TRIM(SUBSTITUTE(AA42,CHAR(160),""))="Devis 1",IFERROR(VALUE(TRIM(SUBSTITUTE(N42,CHAR(160),""))),0),TRIM(SUBSTITUTE(AA42,CHAR(160),""))="Devis 2",IFERROR(VALUE(TRIM(SUBSTITUTE(S42,CHAR(160),""))),0),TRIM(SUBSTITUTE(AA42,CHAR(160),""))="Devis 3",IFERROR(VALUE(TRIM(SUBSTITUTE(X42,CHAR(160),""))),0),TRUE,0)*IFERROR(VALUE(TRIM(SUBSTITUTE(D42,CHAR(160),""))),0))</f>
        <v/>
      </c>
      <c r="AC42" s="275" t="str" cm="1">
        <f t="array" ref="AC42">IF(_xlfn.IFS(TRIM(SUBSTITUTE(AA42,CHAR(160),""))="Devis 1",IFERROR(VALUE(TRIM(SUBSTITUTE(O42,CHAR(160),""))),0),TRIM(SUBSTITUTE(AA42,CHAR(160),""))="Devis 2",IFERROR(VALUE(TRIM(SUBSTITUTE(T42,CHAR(160),""))),0),TRIM(SUBSTITUTE(AA42,CHAR(160),""))="Devis 3",IFERROR(VALUE(TRIM(SUBSTITUTE(Y42,CHAR(160),""))),0),TRUE,0)*IFERROR(VALUE(TRIM(SUBSTITUTE(D42,CHAR(160),""))),0)=0,IF(AB42&lt;&gt;"",0,""),_xlfn.IFS(TRIM(SUBSTITUTE(AA42,CHAR(160),""))="Devis 1",IFERROR(VALUE(TRIM(SUBSTITUTE(O42,CHAR(160),""))),0),TRIM(SUBSTITUTE(AA42,CHAR(160),""))="Devis 2",IFERROR(VALUE(TRIM(SUBSTITUTE(T42,CHAR(160),""))),0),TRIM(SUBSTITUTE(AA42,CHAR(160),""))="Devis 3",IFERROR(VALUE(TRIM(SUBSTITUTE(Y42,CHAR(160),""))),0),TRUE,0)*IFERROR(VALUE(TRIM(SUBSTITUTE(D42,CHAR(160),""))),0))</f>
        <v/>
      </c>
      <c r="AD42" s="285" t="str">
        <f t="shared" si="51"/>
        <v/>
      </c>
      <c r="AE42" s="26"/>
      <c r="AF42" s="109" t="str">
        <f t="shared" si="14"/>
        <v/>
      </c>
      <c r="AG42" s="109" t="str">
        <f t="shared" si="15"/>
        <v/>
      </c>
      <c r="AH42" s="885" t="str">
        <f t="shared" si="16"/>
        <v/>
      </c>
      <c r="AI42" s="109" t="str">
        <f t="shared" si="17"/>
        <v/>
      </c>
      <c r="AJ42" s="109" t="str">
        <f t="shared" si="18"/>
        <v/>
      </c>
      <c r="AK42" s="109" t="str">
        <f t="shared" si="19"/>
        <v/>
      </c>
      <c r="AL42" s="109" t="str">
        <f t="shared" si="20"/>
        <v/>
      </c>
      <c r="AM42" s="109" t="str">
        <f t="shared" si="21"/>
        <v/>
      </c>
      <c r="AN42" s="109" t="str">
        <f t="shared" si="22"/>
        <v/>
      </c>
      <c r="AO42" s="109" t="str">
        <f t="shared" si="23"/>
        <v/>
      </c>
      <c r="AP42" s="754" t="str">
        <f t="shared" si="24"/>
        <v/>
      </c>
      <c r="AQ42" s="755" t="str">
        <f t="shared" si="25"/>
        <v/>
      </c>
      <c r="AR42" s="195" t="str">
        <f t="shared" si="26"/>
        <v/>
      </c>
      <c r="AS42" s="195" t="str">
        <f t="shared" si="27"/>
        <v/>
      </c>
      <c r="AT42" s="664" t="str">
        <f t="shared" si="28"/>
        <v/>
      </c>
      <c r="AU42" s="756" t="str">
        <f t="shared" si="29"/>
        <v/>
      </c>
      <c r="AV42" s="195" t="str">
        <f t="shared" si="30"/>
        <v/>
      </c>
      <c r="AW42" s="195" t="str">
        <f t="shared" si="31"/>
        <v/>
      </c>
      <c r="AX42" s="195" t="str">
        <f t="shared" si="32"/>
        <v/>
      </c>
      <c r="AY42" s="728" t="str">
        <f t="shared" si="33"/>
        <v/>
      </c>
      <c r="AZ42" s="195" t="str">
        <f t="shared" si="34"/>
        <v/>
      </c>
      <c r="BA42" s="195" t="str">
        <f t="shared" si="35"/>
        <v/>
      </c>
      <c r="BB42" s="195" t="str">
        <f t="shared" si="36"/>
        <v/>
      </c>
      <c r="BC42" s="195" t="str">
        <f t="shared" si="37"/>
        <v/>
      </c>
      <c r="BD42" s="112" t="str">
        <f t="shared" si="38"/>
        <v/>
      </c>
      <c r="BE42" s="109" t="str">
        <f t="shared" si="39"/>
        <v/>
      </c>
      <c r="BF42" s="602"/>
      <c r="BG42" s="113" t="str">
        <f t="shared" si="40"/>
        <v/>
      </c>
      <c r="BH42" s="113" t="str">
        <f t="shared" si="41"/>
        <v/>
      </c>
      <c r="BI42" s="113" t="str">
        <f t="shared" si="42"/>
        <v/>
      </c>
      <c r="BJ42" s="281" t="str" cm="1">
        <f t="array" ref="BJ42">IF($AH42="","",
_xlfn.IFS(
$BE42="Devis 1",
IF(ISBLANK(AR42),"",IFERROR(VALUE(TRIM(SUBSTITUTE(AR42,CHAR(160),""))),0)*IFERROR(VALUE(TRIM(SUBSTITUTE($AH42,CHAR(160),""))),0)),
$BE42="Devis 2",
IF(ISBLANK(AW42),"",IFERROR(VALUE(TRIM(SUBSTITUTE(AW42,CHAR(160),""))),0)*IFERROR(VALUE(TRIM(SUBSTITUTE($AH42,CHAR(160),""))),0)),
$BE42="Devis 3",
IF(ISBLANK(BB42),"",IFERROR(VALUE(TRIM(SUBSTITUTE(BB42,CHAR(160),""))),0)*IFERROR(VALUE(TRIM(SUBSTITUTE($AH42,CHAR(160),""))),0)),
TRUE,0
)
)</f>
        <v/>
      </c>
      <c r="BK42" s="281" t="str" cm="1">
        <f t="array" ref="BK42">IF($AH42="","",
_xlfn.IFS(
$BE42="Devis 1",
IF(ISBLANK(AS42),"",IFERROR(VALUE(TRIM(SUBSTITUTE(AS42,CHAR(160),""))),0)*IFERROR(VALUE(TRIM(SUBSTITUTE($AH42,CHAR(160),""))),0)),
$BE42="Devis 2",
IF(ISBLANK(AX42),"",IFERROR(VALUE(TRIM(SUBSTITUTE(AX42,CHAR(160),""))),0)*IFERROR(VALUE(TRIM(SUBSTITUTE($AH42,CHAR(160),""))),0)),
$BE42="Devis 3",
IF(ISBLANK(BC42),"",IFERROR(VALUE(TRIM(SUBSTITUTE(BC42,CHAR(160),""))),0)*IFERROR(VALUE(TRIM(SUBSTITUTE($AH42,CHAR(160),""))),0)),
TRUE,0
)
)</f>
        <v/>
      </c>
      <c r="BL42" s="281" t="str">
        <f t="shared" si="43"/>
        <v/>
      </c>
      <c r="BM42" s="602"/>
      <c r="BN42" s="23" t="str" cm="1">
        <f t="array" ref="BN42">IF(OR(BL42="",BI42="",BJ42="",BG42="",BK42="",BH42=""),"",_xlfn.IFS(
ROUND(IFERROR(VALUE(TRIM(SUBSTITUTE(BL42,CHAR(160),""))),0),2)&gt;
ROUND(IFERROR(VALUE(TRIM(SUBSTITUTE(BI42,CHAR(160),""))),0),2),
"KO : Le montant retenu TTC est supérieur au montant raisonnable TTC. Merci de revoir la ligne de dépense ou plafonner son montant.",
ROUND(IFERROR(VALUE(TRIM(SUBSTITUTE(BJ42,CHAR(160),""))),0),2)&gt;
ROUND(IFERROR(VALUE(TRIM(SUBSTITUTE(BG42,CHAR(160),""))),0),2),
"Attention : Le montant retenu HT est supérieur au montant HT raisonnable. Merci de revoir la ligne de dépense, plafonner son montant, ou justifier la reventillation HT / TVA.",
ROUND(IFERROR(VALUE(TRIM(SUBSTITUTE(BK42,CHAR(160),""))),0),2)&gt;
ROUND(IFERROR(VALUE(TRIM(SUBSTITUTE(BH42,CHAR(160),""))),0),2),
"Attention : Le montant TVA retenu est supérieur au montant TVA raisonnable. Merci de revoir la ligne de dépense, plafonner son montant, ou justifier la reventillation HT / TVA.",
ROUND(IFERROR(VALUE(TRIM(SUBSTITUTE(BL42,CHAR(160),""))),0),2)&gt;
ROUND(IFERROR(VALUE(TRIM(SUBSTITUTE(MIN(P42,U42,Z42),CHAR(160),""))),0),2),
"Attention : Le devis retenu n'est pas le moins cher. Une justification de la part du porteur est nécessaire.",
ROUND(IFERROR(VALUE(TRIM(SUBSTITUTE(BL42,CHAR(160),""))),0),2)=0,
"Attention : montant présenté entièrement écarté",
ROUND(IFERROR(VALUE(TRIM(SUBSTITUTE(BI42,CHAR(160),""))),0),2)=
ROUND(IFERROR(VALUE(TRIM(SUBSTITUTE(BL42,CHAR(160),""))),0),2),
"OK",
ROUND(IFERROR(VALUE(TRIM(SUBSTITUTE(BI42,CHAR(160),""))),0),2)&gt;
ROUND(IFERROR(VALUE(TRIM(SUBSTITUTE(BL42,CHAR(160),""))),0),2),
" OK : Montant instruit inférieur au montant raisonnable.",
TRUE,""
))</f>
        <v/>
      </c>
      <c r="BO42" s="23" t="str" cm="1">
        <f t="array" ref="BO42">IF(OR(BL42="",AD42="",BJ42="",AB42="",BK42="",AC42=""),"",_xlfn.IFS(
ROUND(IFERROR(VALUE(TRIM(SUBSTITUTE(BL42,CHAR(160),""))),0),2)&gt;
ROUND(IFERROR(VALUE(TRIM(SUBSTITUTE(AD42,CHAR(160),""))),0),2),
"KO : Le montant retenu TTC est supérieur au montant présenté TTC. Merci de revoir la ligne de dépense ou plafonner son montant.",
ROUND(IFERROR(VALUE(TRIM(SUBSTITUTE(BJ42,CHAR(160),""))),0),2)&gt;
ROUND(IFERROR(VALUE(TRIM(SUBSTITUTE(AB42,CHAR(160),""))),0),2),
"Attention : Le montant retenu HT est supérieur au montant HT présenté. Merci de revoir la ligne de dépense, plafonner son montant, ou justifier la reventillation HT / TVA.",
ROUND(IFERROR(VALUE(TRIM(SUBSTITUTE(BK42,CHAR(160),""))),0),2)&gt;
ROUND(IFERROR(VALUE(TRIM(SUBSTITUTE(AC42,CHAR(160),""))),0),2),
"Attention : Le montant TVA retenu est supérieur au montant TVA présenté. Merci de revoir la ligne de dépense, plafonner son montant, ou justifier la reventillation HT / TVA.",
ROUND(IFERROR(VALUE(TRIM(SUBSTITUTE(AD42,CHAR(160),""))),0),2)=0,
"",
ROUND(IFERROR(VALUE(TRIM(SUBSTITUTE(BL42,CHAR(160),""))),0),2)=
ROUND(IFERROR(VALUE(TRIM(SUBSTITUTE(AD42,CHAR(160),""))),0),2),
"OK",
ROUND(IFERROR(VALUE(TRIM(SUBSTITUTE(BL42,CHAR(160),""))),0),2)=0,
"Attention : Montant présenté entièrement rejeté.",
ROUND(IFERROR(VALUE(TRIM(SUBSTITUTE(BL42,CHAR(160),""))),0),2)&lt;
ROUND(IFERROR(VALUE(TRIM(SUBSTITUTE(AD42,CHAR(160),""))),0),2),
"Attention : Montant présenté partiellement rejeté.",
TRUE,""
))</f>
        <v/>
      </c>
      <c r="BP42" s="113" t="str">
        <f t="shared" si="44"/>
        <v/>
      </c>
      <c r="BQ42" s="113" t="str">
        <f t="shared" si="45"/>
        <v/>
      </c>
      <c r="BR42" s="33" t="str">
        <f t="shared" si="46"/>
        <v/>
      </c>
    </row>
    <row r="43" spans="1:70" ht="15" customHeight="1">
      <c r="A43" s="193">
        <v>35</v>
      </c>
      <c r="B43" s="7"/>
      <c r="C43" s="7"/>
      <c r="D43" s="19"/>
      <c r="E43" s="7"/>
      <c r="F43" s="7"/>
      <c r="G43" s="7"/>
      <c r="H43" s="7"/>
      <c r="I43" s="28"/>
      <c r="J43" s="7"/>
      <c r="K43" s="29"/>
      <c r="L43" s="678"/>
      <c r="M43" s="7"/>
      <c r="N43" s="672"/>
      <c r="O43" s="11"/>
      <c r="P43" s="107" t="str">
        <f t="shared" si="48"/>
        <v/>
      </c>
      <c r="Q43" s="699"/>
      <c r="R43" s="702"/>
      <c r="S43" s="684"/>
      <c r="T43" s="11"/>
      <c r="U43" s="107" t="str">
        <f t="shared" si="49"/>
        <v/>
      </c>
      <c r="V43" s="695"/>
      <c r="W43" s="685"/>
      <c r="X43" s="707"/>
      <c r="Y43" s="684"/>
      <c r="Z43" s="108" t="str">
        <f t="shared" si="50"/>
        <v/>
      </c>
      <c r="AA43" s="25"/>
      <c r="AB43" s="287" t="str" cm="1">
        <f t="array" ref="AB43">IF((_xlfn.IFS(TRIM(SUBSTITUTE(AA43,CHAR(160),""))="Devis 1",IFERROR(VALUE(TRIM(SUBSTITUTE(N43,CHAR(160),""))),0),TRIM(SUBSTITUTE(AA43,CHAR(160),""))="Devis 2",IFERROR(VALUE(TRIM(SUBSTITUTE(S43,CHAR(160),""))),0),TRIM(SUBSTITUTE(AA43,CHAR(160),""))="Devis 3",IFERROR(VALUE(TRIM(SUBSTITUTE(X43,CHAR(160),""))),0),TRUE,0)*IFERROR(VALUE(TRIM(SUBSTITUTE(D43,CHAR(160),""))),0))=0,"",_xlfn.IFS(TRIM(SUBSTITUTE(AA43,CHAR(160),""))="Devis 1",IFERROR(VALUE(TRIM(SUBSTITUTE(N43,CHAR(160),""))),0),TRIM(SUBSTITUTE(AA43,CHAR(160),""))="Devis 2",IFERROR(VALUE(TRIM(SUBSTITUTE(S43,CHAR(160),""))),0),TRIM(SUBSTITUTE(AA43,CHAR(160),""))="Devis 3",IFERROR(VALUE(TRIM(SUBSTITUTE(X43,CHAR(160),""))),0),TRUE,0)*IFERROR(VALUE(TRIM(SUBSTITUTE(D43,CHAR(160),""))),0))</f>
        <v/>
      </c>
      <c r="AC43" s="275" t="str" cm="1">
        <f t="array" ref="AC43">IF(_xlfn.IFS(TRIM(SUBSTITUTE(AA43,CHAR(160),""))="Devis 1",IFERROR(VALUE(TRIM(SUBSTITUTE(O43,CHAR(160),""))),0),TRIM(SUBSTITUTE(AA43,CHAR(160),""))="Devis 2",IFERROR(VALUE(TRIM(SUBSTITUTE(T43,CHAR(160),""))),0),TRIM(SUBSTITUTE(AA43,CHAR(160),""))="Devis 3",IFERROR(VALUE(TRIM(SUBSTITUTE(Y43,CHAR(160),""))),0),TRUE,0)*IFERROR(VALUE(TRIM(SUBSTITUTE(D43,CHAR(160),""))),0)=0,IF(AB43&lt;&gt;"",0,""),_xlfn.IFS(TRIM(SUBSTITUTE(AA43,CHAR(160),""))="Devis 1",IFERROR(VALUE(TRIM(SUBSTITUTE(O43,CHAR(160),""))),0),TRIM(SUBSTITUTE(AA43,CHAR(160),""))="Devis 2",IFERROR(VALUE(TRIM(SUBSTITUTE(T43,CHAR(160),""))),0),TRIM(SUBSTITUTE(AA43,CHAR(160),""))="Devis 3",IFERROR(VALUE(TRIM(SUBSTITUTE(Y43,CHAR(160),""))),0),TRUE,0)*IFERROR(VALUE(TRIM(SUBSTITUTE(D43,CHAR(160),""))),0))</f>
        <v/>
      </c>
      <c r="AD43" s="285" t="str">
        <f t="shared" si="51"/>
        <v/>
      </c>
      <c r="AE43" s="26"/>
      <c r="AF43" s="109" t="str">
        <f t="shared" si="14"/>
        <v/>
      </c>
      <c r="AG43" s="109" t="str">
        <f t="shared" si="15"/>
        <v/>
      </c>
      <c r="AH43" s="885" t="str">
        <f t="shared" si="16"/>
        <v/>
      </c>
      <c r="AI43" s="109" t="str">
        <f t="shared" si="17"/>
        <v/>
      </c>
      <c r="AJ43" s="109" t="str">
        <f t="shared" si="18"/>
        <v/>
      </c>
      <c r="AK43" s="109" t="str">
        <f t="shared" si="19"/>
        <v/>
      </c>
      <c r="AL43" s="109" t="str">
        <f t="shared" si="20"/>
        <v/>
      </c>
      <c r="AM43" s="109" t="str">
        <f t="shared" si="21"/>
        <v/>
      </c>
      <c r="AN43" s="109" t="str">
        <f t="shared" si="22"/>
        <v/>
      </c>
      <c r="AO43" s="109" t="str">
        <f t="shared" si="23"/>
        <v/>
      </c>
      <c r="AP43" s="754" t="str">
        <f t="shared" si="24"/>
        <v/>
      </c>
      <c r="AQ43" s="755" t="str">
        <f t="shared" si="25"/>
        <v/>
      </c>
      <c r="AR43" s="195" t="str">
        <f t="shared" si="26"/>
        <v/>
      </c>
      <c r="AS43" s="195" t="str">
        <f t="shared" si="27"/>
        <v/>
      </c>
      <c r="AT43" s="664" t="str">
        <f t="shared" si="28"/>
        <v/>
      </c>
      <c r="AU43" s="756" t="str">
        <f t="shared" si="29"/>
        <v/>
      </c>
      <c r="AV43" s="195" t="str">
        <f t="shared" si="30"/>
        <v/>
      </c>
      <c r="AW43" s="195" t="str">
        <f t="shared" si="31"/>
        <v/>
      </c>
      <c r="AX43" s="195" t="str">
        <f t="shared" si="32"/>
        <v/>
      </c>
      <c r="AY43" s="728" t="str">
        <f t="shared" si="33"/>
        <v/>
      </c>
      <c r="AZ43" s="195" t="str">
        <f t="shared" si="34"/>
        <v/>
      </c>
      <c r="BA43" s="195" t="str">
        <f t="shared" si="35"/>
        <v/>
      </c>
      <c r="BB43" s="195" t="str">
        <f t="shared" si="36"/>
        <v/>
      </c>
      <c r="BC43" s="195" t="str">
        <f t="shared" si="37"/>
        <v/>
      </c>
      <c r="BD43" s="112" t="str">
        <f t="shared" si="38"/>
        <v/>
      </c>
      <c r="BE43" s="109" t="str">
        <f t="shared" si="39"/>
        <v/>
      </c>
      <c r="BF43" s="602"/>
      <c r="BG43" s="113" t="str">
        <f t="shared" si="40"/>
        <v/>
      </c>
      <c r="BH43" s="113" t="str">
        <f t="shared" si="41"/>
        <v/>
      </c>
      <c r="BI43" s="113" t="str">
        <f t="shared" si="42"/>
        <v/>
      </c>
      <c r="BJ43" s="281" t="str" cm="1">
        <f t="array" ref="BJ43">IF($AH43="","",
_xlfn.IFS(
$BE43="Devis 1",
IF(ISBLANK(AR43),"",IFERROR(VALUE(TRIM(SUBSTITUTE(AR43,CHAR(160),""))),0)*IFERROR(VALUE(TRIM(SUBSTITUTE($AH43,CHAR(160),""))),0)),
$BE43="Devis 2",
IF(ISBLANK(AW43),"",IFERROR(VALUE(TRIM(SUBSTITUTE(AW43,CHAR(160),""))),0)*IFERROR(VALUE(TRIM(SUBSTITUTE($AH43,CHAR(160),""))),0)),
$BE43="Devis 3",
IF(ISBLANK(BB43),"",IFERROR(VALUE(TRIM(SUBSTITUTE(BB43,CHAR(160),""))),0)*IFERROR(VALUE(TRIM(SUBSTITUTE($AH43,CHAR(160),""))),0)),
TRUE,0
)
)</f>
        <v/>
      </c>
      <c r="BK43" s="281" t="str" cm="1">
        <f t="array" ref="BK43">IF($AH43="","",
_xlfn.IFS(
$BE43="Devis 1",
IF(ISBLANK(AS43),"",IFERROR(VALUE(TRIM(SUBSTITUTE(AS43,CHAR(160),""))),0)*IFERROR(VALUE(TRIM(SUBSTITUTE($AH43,CHAR(160),""))),0)),
$BE43="Devis 2",
IF(ISBLANK(AX43),"",IFERROR(VALUE(TRIM(SUBSTITUTE(AX43,CHAR(160),""))),0)*IFERROR(VALUE(TRIM(SUBSTITUTE($AH43,CHAR(160),""))),0)),
$BE43="Devis 3",
IF(ISBLANK(BC43),"",IFERROR(VALUE(TRIM(SUBSTITUTE(BC43,CHAR(160),""))),0)*IFERROR(VALUE(TRIM(SUBSTITUTE($AH43,CHAR(160),""))),0)),
TRUE,0
)
)</f>
        <v/>
      </c>
      <c r="BL43" s="281" t="str">
        <f t="shared" si="43"/>
        <v/>
      </c>
      <c r="BM43" s="602"/>
      <c r="BN43" s="23" t="str" cm="1">
        <f t="array" ref="BN43">IF(OR(BL43="",BI43="",BJ43="",BG43="",BK43="",BH43=""),"",_xlfn.IFS(
ROUND(IFERROR(VALUE(TRIM(SUBSTITUTE(BL43,CHAR(160),""))),0),2)&gt;
ROUND(IFERROR(VALUE(TRIM(SUBSTITUTE(BI43,CHAR(160),""))),0),2),
"KO : Le montant retenu TTC est supérieur au montant raisonnable TTC. Merci de revoir la ligne de dépense ou plafonner son montant.",
ROUND(IFERROR(VALUE(TRIM(SUBSTITUTE(BJ43,CHAR(160),""))),0),2)&gt;
ROUND(IFERROR(VALUE(TRIM(SUBSTITUTE(BG43,CHAR(160),""))),0),2),
"Attention : Le montant retenu HT est supérieur au montant HT raisonnable. Merci de revoir la ligne de dépense, plafonner son montant, ou justifier la reventillation HT / TVA.",
ROUND(IFERROR(VALUE(TRIM(SUBSTITUTE(BK43,CHAR(160),""))),0),2)&gt;
ROUND(IFERROR(VALUE(TRIM(SUBSTITUTE(BH43,CHAR(160),""))),0),2),
"Attention : Le montant TVA retenu est supérieur au montant TVA raisonnable. Merci de revoir la ligne de dépense, plafonner son montant, ou justifier la reventillation HT / TVA.",
ROUND(IFERROR(VALUE(TRIM(SUBSTITUTE(BL43,CHAR(160),""))),0),2)&gt;
ROUND(IFERROR(VALUE(TRIM(SUBSTITUTE(MIN(P43,U43,Z43),CHAR(160),""))),0),2),
"Attention : Le devis retenu n'est pas le moins cher. Une justification de la part du porteur est nécessaire.",
ROUND(IFERROR(VALUE(TRIM(SUBSTITUTE(BL43,CHAR(160),""))),0),2)=0,
"Attention : montant présenté entièrement écarté",
ROUND(IFERROR(VALUE(TRIM(SUBSTITUTE(BI43,CHAR(160),""))),0),2)=
ROUND(IFERROR(VALUE(TRIM(SUBSTITUTE(BL43,CHAR(160),""))),0),2),
"OK",
ROUND(IFERROR(VALUE(TRIM(SUBSTITUTE(BI43,CHAR(160),""))),0),2)&gt;
ROUND(IFERROR(VALUE(TRIM(SUBSTITUTE(BL43,CHAR(160),""))),0),2),
" OK : Montant instruit inférieur au montant raisonnable.",
TRUE,""
))</f>
        <v/>
      </c>
      <c r="BO43" s="23" t="str" cm="1">
        <f t="array" ref="BO43">IF(OR(BL43="",AD43="",BJ43="",AB43="",BK43="",AC43=""),"",_xlfn.IFS(
ROUND(IFERROR(VALUE(TRIM(SUBSTITUTE(BL43,CHAR(160),""))),0),2)&gt;
ROUND(IFERROR(VALUE(TRIM(SUBSTITUTE(AD43,CHAR(160),""))),0),2),
"KO : Le montant retenu TTC est supérieur au montant présenté TTC. Merci de revoir la ligne de dépense ou plafonner son montant.",
ROUND(IFERROR(VALUE(TRIM(SUBSTITUTE(BJ43,CHAR(160),""))),0),2)&gt;
ROUND(IFERROR(VALUE(TRIM(SUBSTITUTE(AB43,CHAR(160),""))),0),2),
"Attention : Le montant retenu HT est supérieur au montant HT présenté. Merci de revoir la ligne de dépense, plafonner son montant, ou justifier la reventillation HT / TVA.",
ROUND(IFERROR(VALUE(TRIM(SUBSTITUTE(BK43,CHAR(160),""))),0),2)&gt;
ROUND(IFERROR(VALUE(TRIM(SUBSTITUTE(AC43,CHAR(160),""))),0),2),
"Attention : Le montant TVA retenu est supérieur au montant TVA présenté. Merci de revoir la ligne de dépense, plafonner son montant, ou justifier la reventillation HT / TVA.",
ROUND(IFERROR(VALUE(TRIM(SUBSTITUTE(AD43,CHAR(160),""))),0),2)=0,
"",
ROUND(IFERROR(VALUE(TRIM(SUBSTITUTE(BL43,CHAR(160),""))),0),2)=
ROUND(IFERROR(VALUE(TRIM(SUBSTITUTE(AD43,CHAR(160),""))),0),2),
"OK",
ROUND(IFERROR(VALUE(TRIM(SUBSTITUTE(BL43,CHAR(160),""))),0),2)=0,
"Attention : Montant présenté entièrement rejeté.",
ROUND(IFERROR(VALUE(TRIM(SUBSTITUTE(BL43,CHAR(160),""))),0),2)&lt;
ROUND(IFERROR(VALUE(TRIM(SUBSTITUTE(AD43,CHAR(160),""))),0),2),
"Attention : Montant présenté partiellement rejeté.",
TRUE,""
))</f>
        <v/>
      </c>
      <c r="BP43" s="113" t="str">
        <f t="shared" si="44"/>
        <v/>
      </c>
      <c r="BQ43" s="113" t="str">
        <f t="shared" si="45"/>
        <v/>
      </c>
      <c r="BR43" s="33" t="str">
        <f t="shared" si="46"/>
        <v/>
      </c>
    </row>
    <row r="44" spans="1:70" ht="15" customHeight="1">
      <c r="A44" s="193">
        <v>36</v>
      </c>
      <c r="B44" s="7"/>
      <c r="C44" s="7"/>
      <c r="D44" s="19"/>
      <c r="E44" s="7"/>
      <c r="F44" s="7"/>
      <c r="G44" s="7"/>
      <c r="H44" s="7"/>
      <c r="I44" s="28"/>
      <c r="J44" s="7"/>
      <c r="K44" s="29"/>
      <c r="L44" s="678"/>
      <c r="M44" s="7"/>
      <c r="N44" s="672"/>
      <c r="O44" s="11"/>
      <c r="P44" s="107" t="str">
        <f t="shared" si="48"/>
        <v/>
      </c>
      <c r="Q44" s="699"/>
      <c r="R44" s="702"/>
      <c r="S44" s="684"/>
      <c r="T44" s="11"/>
      <c r="U44" s="107" t="str">
        <f t="shared" si="49"/>
        <v/>
      </c>
      <c r="V44" s="695"/>
      <c r="W44" s="685"/>
      <c r="X44" s="707"/>
      <c r="Y44" s="684"/>
      <c r="Z44" s="108" t="str">
        <f t="shared" si="50"/>
        <v/>
      </c>
      <c r="AA44" s="25"/>
      <c r="AB44" s="287" t="str" cm="1">
        <f t="array" ref="AB44">IF((_xlfn.IFS(TRIM(SUBSTITUTE(AA44,CHAR(160),""))="Devis 1",IFERROR(VALUE(TRIM(SUBSTITUTE(N44,CHAR(160),""))),0),TRIM(SUBSTITUTE(AA44,CHAR(160),""))="Devis 2",IFERROR(VALUE(TRIM(SUBSTITUTE(S44,CHAR(160),""))),0),TRIM(SUBSTITUTE(AA44,CHAR(160),""))="Devis 3",IFERROR(VALUE(TRIM(SUBSTITUTE(X44,CHAR(160),""))),0),TRUE,0)*IFERROR(VALUE(TRIM(SUBSTITUTE(D44,CHAR(160),""))),0))=0,"",_xlfn.IFS(TRIM(SUBSTITUTE(AA44,CHAR(160),""))="Devis 1",IFERROR(VALUE(TRIM(SUBSTITUTE(N44,CHAR(160),""))),0),TRIM(SUBSTITUTE(AA44,CHAR(160),""))="Devis 2",IFERROR(VALUE(TRIM(SUBSTITUTE(S44,CHAR(160),""))),0),TRIM(SUBSTITUTE(AA44,CHAR(160),""))="Devis 3",IFERROR(VALUE(TRIM(SUBSTITUTE(X44,CHAR(160),""))),0),TRUE,0)*IFERROR(VALUE(TRIM(SUBSTITUTE(D44,CHAR(160),""))),0))</f>
        <v/>
      </c>
      <c r="AC44" s="275" t="str" cm="1">
        <f t="array" ref="AC44">IF(_xlfn.IFS(TRIM(SUBSTITUTE(AA44,CHAR(160),""))="Devis 1",IFERROR(VALUE(TRIM(SUBSTITUTE(O44,CHAR(160),""))),0),TRIM(SUBSTITUTE(AA44,CHAR(160),""))="Devis 2",IFERROR(VALUE(TRIM(SUBSTITUTE(T44,CHAR(160),""))),0),TRIM(SUBSTITUTE(AA44,CHAR(160),""))="Devis 3",IFERROR(VALUE(TRIM(SUBSTITUTE(Y44,CHAR(160),""))),0),TRUE,0)*IFERROR(VALUE(TRIM(SUBSTITUTE(D44,CHAR(160),""))),0)=0,IF(AB44&lt;&gt;"",0,""),_xlfn.IFS(TRIM(SUBSTITUTE(AA44,CHAR(160),""))="Devis 1",IFERROR(VALUE(TRIM(SUBSTITUTE(O44,CHAR(160),""))),0),TRIM(SUBSTITUTE(AA44,CHAR(160),""))="Devis 2",IFERROR(VALUE(TRIM(SUBSTITUTE(T44,CHAR(160),""))),0),TRIM(SUBSTITUTE(AA44,CHAR(160),""))="Devis 3",IFERROR(VALUE(TRIM(SUBSTITUTE(Y44,CHAR(160),""))),0),TRUE,0)*IFERROR(VALUE(TRIM(SUBSTITUTE(D44,CHAR(160),""))),0))</f>
        <v/>
      </c>
      <c r="AD44" s="285" t="str">
        <f t="shared" si="51"/>
        <v/>
      </c>
      <c r="AE44" s="26"/>
      <c r="AF44" s="109" t="str">
        <f t="shared" si="14"/>
        <v/>
      </c>
      <c r="AG44" s="109" t="str">
        <f t="shared" si="15"/>
        <v/>
      </c>
      <c r="AH44" s="885" t="str">
        <f t="shared" si="16"/>
        <v/>
      </c>
      <c r="AI44" s="109" t="str">
        <f t="shared" si="17"/>
        <v/>
      </c>
      <c r="AJ44" s="109" t="str">
        <f t="shared" si="18"/>
        <v/>
      </c>
      <c r="AK44" s="109" t="str">
        <f t="shared" si="19"/>
        <v/>
      </c>
      <c r="AL44" s="109" t="str">
        <f t="shared" si="20"/>
        <v/>
      </c>
      <c r="AM44" s="109" t="str">
        <f t="shared" si="21"/>
        <v/>
      </c>
      <c r="AN44" s="109" t="str">
        <f t="shared" si="22"/>
        <v/>
      </c>
      <c r="AO44" s="109" t="str">
        <f t="shared" si="23"/>
        <v/>
      </c>
      <c r="AP44" s="754" t="str">
        <f t="shared" si="24"/>
        <v/>
      </c>
      <c r="AQ44" s="755" t="str">
        <f t="shared" si="25"/>
        <v/>
      </c>
      <c r="AR44" s="195" t="str">
        <f t="shared" si="26"/>
        <v/>
      </c>
      <c r="AS44" s="195" t="str">
        <f t="shared" si="27"/>
        <v/>
      </c>
      <c r="AT44" s="664" t="str">
        <f t="shared" si="28"/>
        <v/>
      </c>
      <c r="AU44" s="756" t="str">
        <f t="shared" si="29"/>
        <v/>
      </c>
      <c r="AV44" s="195" t="str">
        <f t="shared" si="30"/>
        <v/>
      </c>
      <c r="AW44" s="195" t="str">
        <f t="shared" si="31"/>
        <v/>
      </c>
      <c r="AX44" s="195" t="str">
        <f t="shared" si="32"/>
        <v/>
      </c>
      <c r="AY44" s="728" t="str">
        <f t="shared" si="33"/>
        <v/>
      </c>
      <c r="AZ44" s="195" t="str">
        <f t="shared" si="34"/>
        <v/>
      </c>
      <c r="BA44" s="195" t="str">
        <f t="shared" si="35"/>
        <v/>
      </c>
      <c r="BB44" s="195" t="str">
        <f t="shared" si="36"/>
        <v/>
      </c>
      <c r="BC44" s="195" t="str">
        <f t="shared" si="37"/>
        <v/>
      </c>
      <c r="BD44" s="112" t="str">
        <f t="shared" si="38"/>
        <v/>
      </c>
      <c r="BE44" s="109" t="str">
        <f t="shared" si="39"/>
        <v/>
      </c>
      <c r="BF44" s="602"/>
      <c r="BG44" s="113" t="str">
        <f t="shared" si="40"/>
        <v/>
      </c>
      <c r="BH44" s="113" t="str">
        <f t="shared" si="41"/>
        <v/>
      </c>
      <c r="BI44" s="113" t="str">
        <f t="shared" si="42"/>
        <v/>
      </c>
      <c r="BJ44" s="281" t="str" cm="1">
        <f t="array" ref="BJ44">IF($AH44="","",
_xlfn.IFS(
$BE44="Devis 1",
IF(ISBLANK(AR44),"",IFERROR(VALUE(TRIM(SUBSTITUTE(AR44,CHAR(160),""))),0)*IFERROR(VALUE(TRIM(SUBSTITUTE($AH44,CHAR(160),""))),0)),
$BE44="Devis 2",
IF(ISBLANK(AW44),"",IFERROR(VALUE(TRIM(SUBSTITUTE(AW44,CHAR(160),""))),0)*IFERROR(VALUE(TRIM(SUBSTITUTE($AH44,CHAR(160),""))),0)),
$BE44="Devis 3",
IF(ISBLANK(BB44),"",IFERROR(VALUE(TRIM(SUBSTITUTE(BB44,CHAR(160),""))),0)*IFERROR(VALUE(TRIM(SUBSTITUTE($AH44,CHAR(160),""))),0)),
TRUE,0
)
)</f>
        <v/>
      </c>
      <c r="BK44" s="281" t="str" cm="1">
        <f t="array" ref="BK44">IF($AH44="","",
_xlfn.IFS(
$BE44="Devis 1",
IF(ISBLANK(AS44),"",IFERROR(VALUE(TRIM(SUBSTITUTE(AS44,CHAR(160),""))),0)*IFERROR(VALUE(TRIM(SUBSTITUTE($AH44,CHAR(160),""))),0)),
$BE44="Devis 2",
IF(ISBLANK(AX44),"",IFERROR(VALUE(TRIM(SUBSTITUTE(AX44,CHAR(160),""))),0)*IFERROR(VALUE(TRIM(SUBSTITUTE($AH44,CHAR(160),""))),0)),
$BE44="Devis 3",
IF(ISBLANK(BC44),"",IFERROR(VALUE(TRIM(SUBSTITUTE(BC44,CHAR(160),""))),0)*IFERROR(VALUE(TRIM(SUBSTITUTE($AH44,CHAR(160),""))),0)),
TRUE,0
)
)</f>
        <v/>
      </c>
      <c r="BL44" s="281" t="str">
        <f t="shared" si="43"/>
        <v/>
      </c>
      <c r="BM44" s="602"/>
      <c r="BN44" s="23" t="str" cm="1">
        <f t="array" ref="BN44">IF(OR(BL44="",BI44="",BJ44="",BG44="",BK44="",BH44=""),"",_xlfn.IFS(
ROUND(IFERROR(VALUE(TRIM(SUBSTITUTE(BL44,CHAR(160),""))),0),2)&gt;
ROUND(IFERROR(VALUE(TRIM(SUBSTITUTE(BI44,CHAR(160),""))),0),2),
"KO : Le montant retenu TTC est supérieur au montant raisonnable TTC. Merci de revoir la ligne de dépense ou plafonner son montant.",
ROUND(IFERROR(VALUE(TRIM(SUBSTITUTE(BJ44,CHAR(160),""))),0),2)&gt;
ROUND(IFERROR(VALUE(TRIM(SUBSTITUTE(BG44,CHAR(160),""))),0),2),
"Attention : Le montant retenu HT est supérieur au montant HT raisonnable. Merci de revoir la ligne de dépense, plafonner son montant, ou justifier la reventillation HT / TVA.",
ROUND(IFERROR(VALUE(TRIM(SUBSTITUTE(BK44,CHAR(160),""))),0),2)&gt;
ROUND(IFERROR(VALUE(TRIM(SUBSTITUTE(BH44,CHAR(160),""))),0),2),
"Attention : Le montant TVA retenu est supérieur au montant TVA raisonnable. Merci de revoir la ligne de dépense, plafonner son montant, ou justifier la reventillation HT / TVA.",
ROUND(IFERROR(VALUE(TRIM(SUBSTITUTE(BL44,CHAR(160),""))),0),2)&gt;
ROUND(IFERROR(VALUE(TRIM(SUBSTITUTE(MIN(P44,U44,Z44),CHAR(160),""))),0),2),
"Attention : Le devis retenu n'est pas le moins cher. Une justification de la part du porteur est nécessaire.",
ROUND(IFERROR(VALUE(TRIM(SUBSTITUTE(BL44,CHAR(160),""))),0),2)=0,
"Attention : montant présenté entièrement écarté",
ROUND(IFERROR(VALUE(TRIM(SUBSTITUTE(BI44,CHAR(160),""))),0),2)=
ROUND(IFERROR(VALUE(TRIM(SUBSTITUTE(BL44,CHAR(160),""))),0),2),
"OK",
ROUND(IFERROR(VALUE(TRIM(SUBSTITUTE(BI44,CHAR(160),""))),0),2)&gt;
ROUND(IFERROR(VALUE(TRIM(SUBSTITUTE(BL44,CHAR(160),""))),0),2),
" OK : Montant instruit inférieur au montant raisonnable.",
TRUE,""
))</f>
        <v/>
      </c>
      <c r="BO44" s="23" t="str" cm="1">
        <f t="array" ref="BO44">IF(OR(BL44="",AD44="",BJ44="",AB44="",BK44="",AC44=""),"",_xlfn.IFS(
ROUND(IFERROR(VALUE(TRIM(SUBSTITUTE(BL44,CHAR(160),""))),0),2)&gt;
ROUND(IFERROR(VALUE(TRIM(SUBSTITUTE(AD44,CHAR(160),""))),0),2),
"KO : Le montant retenu TTC est supérieur au montant présenté TTC. Merci de revoir la ligne de dépense ou plafonner son montant.",
ROUND(IFERROR(VALUE(TRIM(SUBSTITUTE(BJ44,CHAR(160),""))),0),2)&gt;
ROUND(IFERROR(VALUE(TRIM(SUBSTITUTE(AB44,CHAR(160),""))),0),2),
"Attention : Le montant retenu HT est supérieur au montant HT présenté. Merci de revoir la ligne de dépense, plafonner son montant, ou justifier la reventillation HT / TVA.",
ROUND(IFERROR(VALUE(TRIM(SUBSTITUTE(BK44,CHAR(160),""))),0),2)&gt;
ROUND(IFERROR(VALUE(TRIM(SUBSTITUTE(AC44,CHAR(160),""))),0),2),
"Attention : Le montant TVA retenu est supérieur au montant TVA présenté. Merci de revoir la ligne de dépense, plafonner son montant, ou justifier la reventillation HT / TVA.",
ROUND(IFERROR(VALUE(TRIM(SUBSTITUTE(AD44,CHAR(160),""))),0),2)=0,
"",
ROUND(IFERROR(VALUE(TRIM(SUBSTITUTE(BL44,CHAR(160),""))),0),2)=
ROUND(IFERROR(VALUE(TRIM(SUBSTITUTE(AD44,CHAR(160),""))),0),2),
"OK",
ROUND(IFERROR(VALUE(TRIM(SUBSTITUTE(BL44,CHAR(160),""))),0),2)=0,
"Attention : Montant présenté entièrement rejeté.",
ROUND(IFERROR(VALUE(TRIM(SUBSTITUTE(BL44,CHAR(160),""))),0),2)&lt;
ROUND(IFERROR(VALUE(TRIM(SUBSTITUTE(AD44,CHAR(160),""))),0),2),
"Attention : Montant présenté partiellement rejeté.",
TRUE,""
))</f>
        <v/>
      </c>
      <c r="BP44" s="113" t="str">
        <f t="shared" si="44"/>
        <v/>
      </c>
      <c r="BQ44" s="113" t="str">
        <f t="shared" si="45"/>
        <v/>
      </c>
      <c r="BR44" s="33" t="str">
        <f t="shared" si="46"/>
        <v/>
      </c>
    </row>
    <row r="45" spans="1:70" ht="15" customHeight="1">
      <c r="A45" s="193">
        <v>37</v>
      </c>
      <c r="B45" s="7"/>
      <c r="C45" s="7"/>
      <c r="D45" s="19"/>
      <c r="E45" s="7"/>
      <c r="F45" s="7"/>
      <c r="G45" s="7"/>
      <c r="H45" s="7"/>
      <c r="I45" s="28"/>
      <c r="J45" s="7"/>
      <c r="K45" s="29"/>
      <c r="L45" s="678"/>
      <c r="M45" s="7"/>
      <c r="N45" s="672"/>
      <c r="O45" s="11"/>
      <c r="P45" s="107" t="str">
        <f t="shared" si="48"/>
        <v/>
      </c>
      <c r="Q45" s="699"/>
      <c r="R45" s="702"/>
      <c r="S45" s="684"/>
      <c r="T45" s="11"/>
      <c r="U45" s="107" t="str">
        <f t="shared" si="49"/>
        <v/>
      </c>
      <c r="V45" s="695"/>
      <c r="W45" s="685"/>
      <c r="X45" s="707"/>
      <c r="Y45" s="684"/>
      <c r="Z45" s="108" t="str">
        <f t="shared" si="50"/>
        <v/>
      </c>
      <c r="AA45" s="25"/>
      <c r="AB45" s="287" t="str" cm="1">
        <f t="array" ref="AB45">IF((_xlfn.IFS(TRIM(SUBSTITUTE(AA45,CHAR(160),""))="Devis 1",IFERROR(VALUE(TRIM(SUBSTITUTE(N45,CHAR(160),""))),0),TRIM(SUBSTITUTE(AA45,CHAR(160),""))="Devis 2",IFERROR(VALUE(TRIM(SUBSTITUTE(S45,CHAR(160),""))),0),TRIM(SUBSTITUTE(AA45,CHAR(160),""))="Devis 3",IFERROR(VALUE(TRIM(SUBSTITUTE(X45,CHAR(160),""))),0),TRUE,0)*IFERROR(VALUE(TRIM(SUBSTITUTE(D45,CHAR(160),""))),0))=0,"",_xlfn.IFS(TRIM(SUBSTITUTE(AA45,CHAR(160),""))="Devis 1",IFERROR(VALUE(TRIM(SUBSTITUTE(N45,CHAR(160),""))),0),TRIM(SUBSTITUTE(AA45,CHAR(160),""))="Devis 2",IFERROR(VALUE(TRIM(SUBSTITUTE(S45,CHAR(160),""))),0),TRIM(SUBSTITUTE(AA45,CHAR(160),""))="Devis 3",IFERROR(VALUE(TRIM(SUBSTITUTE(X45,CHAR(160),""))),0),TRUE,0)*IFERROR(VALUE(TRIM(SUBSTITUTE(D45,CHAR(160),""))),0))</f>
        <v/>
      </c>
      <c r="AC45" s="275" t="str" cm="1">
        <f t="array" ref="AC45">IF(_xlfn.IFS(TRIM(SUBSTITUTE(AA45,CHAR(160),""))="Devis 1",IFERROR(VALUE(TRIM(SUBSTITUTE(O45,CHAR(160),""))),0),TRIM(SUBSTITUTE(AA45,CHAR(160),""))="Devis 2",IFERROR(VALUE(TRIM(SUBSTITUTE(T45,CHAR(160),""))),0),TRIM(SUBSTITUTE(AA45,CHAR(160),""))="Devis 3",IFERROR(VALUE(TRIM(SUBSTITUTE(Y45,CHAR(160),""))),0),TRUE,0)*IFERROR(VALUE(TRIM(SUBSTITUTE(D45,CHAR(160),""))),0)=0,IF(AB45&lt;&gt;"",0,""),_xlfn.IFS(TRIM(SUBSTITUTE(AA45,CHAR(160),""))="Devis 1",IFERROR(VALUE(TRIM(SUBSTITUTE(O45,CHAR(160),""))),0),TRIM(SUBSTITUTE(AA45,CHAR(160),""))="Devis 2",IFERROR(VALUE(TRIM(SUBSTITUTE(T45,CHAR(160),""))),0),TRIM(SUBSTITUTE(AA45,CHAR(160),""))="Devis 3",IFERROR(VALUE(TRIM(SUBSTITUTE(Y45,CHAR(160),""))),0),TRUE,0)*IFERROR(VALUE(TRIM(SUBSTITUTE(D45,CHAR(160),""))),0))</f>
        <v/>
      </c>
      <c r="AD45" s="285" t="str">
        <f t="shared" si="51"/>
        <v/>
      </c>
      <c r="AE45" s="26"/>
      <c r="AF45" s="109" t="str">
        <f t="shared" si="14"/>
        <v/>
      </c>
      <c r="AG45" s="109" t="str">
        <f t="shared" si="15"/>
        <v/>
      </c>
      <c r="AH45" s="885" t="str">
        <f t="shared" si="16"/>
        <v/>
      </c>
      <c r="AI45" s="109" t="str">
        <f t="shared" si="17"/>
        <v/>
      </c>
      <c r="AJ45" s="109" t="str">
        <f t="shared" si="18"/>
        <v/>
      </c>
      <c r="AK45" s="109" t="str">
        <f t="shared" si="19"/>
        <v/>
      </c>
      <c r="AL45" s="109" t="str">
        <f t="shared" si="20"/>
        <v/>
      </c>
      <c r="AM45" s="109" t="str">
        <f t="shared" si="21"/>
        <v/>
      </c>
      <c r="AN45" s="109" t="str">
        <f t="shared" si="22"/>
        <v/>
      </c>
      <c r="AO45" s="109" t="str">
        <f t="shared" si="23"/>
        <v/>
      </c>
      <c r="AP45" s="754" t="str">
        <f t="shared" si="24"/>
        <v/>
      </c>
      <c r="AQ45" s="755" t="str">
        <f t="shared" si="25"/>
        <v/>
      </c>
      <c r="AR45" s="195" t="str">
        <f t="shared" si="26"/>
        <v/>
      </c>
      <c r="AS45" s="195" t="str">
        <f t="shared" si="27"/>
        <v/>
      </c>
      <c r="AT45" s="664" t="str">
        <f t="shared" si="28"/>
        <v/>
      </c>
      <c r="AU45" s="756" t="str">
        <f t="shared" si="29"/>
        <v/>
      </c>
      <c r="AV45" s="195" t="str">
        <f t="shared" si="30"/>
        <v/>
      </c>
      <c r="AW45" s="195" t="str">
        <f t="shared" si="31"/>
        <v/>
      </c>
      <c r="AX45" s="195" t="str">
        <f t="shared" si="32"/>
        <v/>
      </c>
      <c r="AY45" s="728" t="str">
        <f t="shared" si="33"/>
        <v/>
      </c>
      <c r="AZ45" s="195" t="str">
        <f t="shared" si="34"/>
        <v/>
      </c>
      <c r="BA45" s="195" t="str">
        <f t="shared" si="35"/>
        <v/>
      </c>
      <c r="BB45" s="195" t="str">
        <f t="shared" si="36"/>
        <v/>
      </c>
      <c r="BC45" s="195" t="str">
        <f t="shared" si="37"/>
        <v/>
      </c>
      <c r="BD45" s="112" t="str">
        <f t="shared" si="38"/>
        <v/>
      </c>
      <c r="BE45" s="109" t="str">
        <f t="shared" si="39"/>
        <v/>
      </c>
      <c r="BF45" s="602"/>
      <c r="BG45" s="113" t="str">
        <f t="shared" si="40"/>
        <v/>
      </c>
      <c r="BH45" s="113" t="str">
        <f t="shared" si="41"/>
        <v/>
      </c>
      <c r="BI45" s="113" t="str">
        <f t="shared" si="42"/>
        <v/>
      </c>
      <c r="BJ45" s="281" t="str" cm="1">
        <f t="array" ref="BJ45">IF($AH45="","",
_xlfn.IFS(
$BE45="Devis 1",
IF(ISBLANK(AR45),"",IFERROR(VALUE(TRIM(SUBSTITUTE(AR45,CHAR(160),""))),0)*IFERROR(VALUE(TRIM(SUBSTITUTE($AH45,CHAR(160),""))),0)),
$BE45="Devis 2",
IF(ISBLANK(AW45),"",IFERROR(VALUE(TRIM(SUBSTITUTE(AW45,CHAR(160),""))),0)*IFERROR(VALUE(TRIM(SUBSTITUTE($AH45,CHAR(160),""))),0)),
$BE45="Devis 3",
IF(ISBLANK(BB45),"",IFERROR(VALUE(TRIM(SUBSTITUTE(BB45,CHAR(160),""))),0)*IFERROR(VALUE(TRIM(SUBSTITUTE($AH45,CHAR(160),""))),0)),
TRUE,0
)
)</f>
        <v/>
      </c>
      <c r="BK45" s="281" t="str" cm="1">
        <f t="array" ref="BK45">IF($AH45="","",
_xlfn.IFS(
$BE45="Devis 1",
IF(ISBLANK(AS45),"",IFERROR(VALUE(TRIM(SUBSTITUTE(AS45,CHAR(160),""))),0)*IFERROR(VALUE(TRIM(SUBSTITUTE($AH45,CHAR(160),""))),0)),
$BE45="Devis 2",
IF(ISBLANK(AX45),"",IFERROR(VALUE(TRIM(SUBSTITUTE(AX45,CHAR(160),""))),0)*IFERROR(VALUE(TRIM(SUBSTITUTE($AH45,CHAR(160),""))),0)),
$BE45="Devis 3",
IF(ISBLANK(BC45),"",IFERROR(VALUE(TRIM(SUBSTITUTE(BC45,CHAR(160),""))),0)*IFERROR(VALUE(TRIM(SUBSTITUTE($AH45,CHAR(160),""))),0)),
TRUE,0
)
)</f>
        <v/>
      </c>
      <c r="BL45" s="281" t="str">
        <f t="shared" si="43"/>
        <v/>
      </c>
      <c r="BM45" s="602"/>
      <c r="BN45" s="23" t="str" cm="1">
        <f t="array" ref="BN45">IF(OR(BL45="",BI45="",BJ45="",BG45="",BK45="",BH45=""),"",_xlfn.IFS(
ROUND(IFERROR(VALUE(TRIM(SUBSTITUTE(BL45,CHAR(160),""))),0),2)&gt;
ROUND(IFERROR(VALUE(TRIM(SUBSTITUTE(BI45,CHAR(160),""))),0),2),
"KO : Le montant retenu TTC est supérieur au montant raisonnable TTC. Merci de revoir la ligne de dépense ou plafonner son montant.",
ROUND(IFERROR(VALUE(TRIM(SUBSTITUTE(BJ45,CHAR(160),""))),0),2)&gt;
ROUND(IFERROR(VALUE(TRIM(SUBSTITUTE(BG45,CHAR(160),""))),0),2),
"Attention : Le montant retenu HT est supérieur au montant HT raisonnable. Merci de revoir la ligne de dépense, plafonner son montant, ou justifier la reventillation HT / TVA.",
ROUND(IFERROR(VALUE(TRIM(SUBSTITUTE(BK45,CHAR(160),""))),0),2)&gt;
ROUND(IFERROR(VALUE(TRIM(SUBSTITUTE(BH45,CHAR(160),""))),0),2),
"Attention : Le montant TVA retenu est supérieur au montant TVA raisonnable. Merci de revoir la ligne de dépense, plafonner son montant, ou justifier la reventillation HT / TVA.",
ROUND(IFERROR(VALUE(TRIM(SUBSTITUTE(BL45,CHAR(160),""))),0),2)&gt;
ROUND(IFERROR(VALUE(TRIM(SUBSTITUTE(MIN(P45,U45,Z45),CHAR(160),""))),0),2),
"Attention : Le devis retenu n'est pas le moins cher. Une justification de la part du porteur est nécessaire.",
ROUND(IFERROR(VALUE(TRIM(SUBSTITUTE(BL45,CHAR(160),""))),0),2)=0,
"Attention : montant présenté entièrement écarté",
ROUND(IFERROR(VALUE(TRIM(SUBSTITUTE(BI45,CHAR(160),""))),0),2)=
ROUND(IFERROR(VALUE(TRIM(SUBSTITUTE(BL45,CHAR(160),""))),0),2),
"OK",
ROUND(IFERROR(VALUE(TRIM(SUBSTITUTE(BI45,CHAR(160),""))),0),2)&gt;
ROUND(IFERROR(VALUE(TRIM(SUBSTITUTE(BL45,CHAR(160),""))),0),2),
" OK : Montant instruit inférieur au montant raisonnable.",
TRUE,""
))</f>
        <v/>
      </c>
      <c r="BO45" s="23" t="str" cm="1">
        <f t="array" ref="BO45">IF(OR(BL45="",AD45="",BJ45="",AB45="",BK45="",AC45=""),"",_xlfn.IFS(
ROUND(IFERROR(VALUE(TRIM(SUBSTITUTE(BL45,CHAR(160),""))),0),2)&gt;
ROUND(IFERROR(VALUE(TRIM(SUBSTITUTE(AD45,CHAR(160),""))),0),2),
"KO : Le montant retenu TTC est supérieur au montant présenté TTC. Merci de revoir la ligne de dépense ou plafonner son montant.",
ROUND(IFERROR(VALUE(TRIM(SUBSTITUTE(BJ45,CHAR(160),""))),0),2)&gt;
ROUND(IFERROR(VALUE(TRIM(SUBSTITUTE(AB45,CHAR(160),""))),0),2),
"Attention : Le montant retenu HT est supérieur au montant HT présenté. Merci de revoir la ligne de dépense, plafonner son montant, ou justifier la reventillation HT / TVA.",
ROUND(IFERROR(VALUE(TRIM(SUBSTITUTE(BK45,CHAR(160),""))),0),2)&gt;
ROUND(IFERROR(VALUE(TRIM(SUBSTITUTE(AC45,CHAR(160),""))),0),2),
"Attention : Le montant TVA retenu est supérieur au montant TVA présenté. Merci de revoir la ligne de dépense, plafonner son montant, ou justifier la reventillation HT / TVA.",
ROUND(IFERROR(VALUE(TRIM(SUBSTITUTE(AD45,CHAR(160),""))),0),2)=0,
"",
ROUND(IFERROR(VALUE(TRIM(SUBSTITUTE(BL45,CHAR(160),""))),0),2)=
ROUND(IFERROR(VALUE(TRIM(SUBSTITUTE(AD45,CHAR(160),""))),0),2),
"OK",
ROUND(IFERROR(VALUE(TRIM(SUBSTITUTE(BL45,CHAR(160),""))),0),2)=0,
"Attention : Montant présenté entièrement rejeté.",
ROUND(IFERROR(VALUE(TRIM(SUBSTITUTE(BL45,CHAR(160),""))),0),2)&lt;
ROUND(IFERROR(VALUE(TRIM(SUBSTITUTE(AD45,CHAR(160),""))),0),2),
"Attention : Montant présenté partiellement rejeté.",
TRUE,""
))</f>
        <v/>
      </c>
      <c r="BP45" s="113" t="str">
        <f t="shared" si="44"/>
        <v/>
      </c>
      <c r="BQ45" s="113" t="str">
        <f t="shared" si="45"/>
        <v/>
      </c>
      <c r="BR45" s="33" t="str">
        <f t="shared" si="46"/>
        <v/>
      </c>
    </row>
    <row r="46" spans="1:70" ht="15" customHeight="1">
      <c r="A46" s="193">
        <v>38</v>
      </c>
      <c r="B46" s="7"/>
      <c r="C46" s="7"/>
      <c r="D46" s="19"/>
      <c r="E46" s="7"/>
      <c r="F46" s="7"/>
      <c r="G46" s="7"/>
      <c r="H46" s="7"/>
      <c r="I46" s="28"/>
      <c r="J46" s="7"/>
      <c r="K46" s="29"/>
      <c r="L46" s="678"/>
      <c r="M46" s="7"/>
      <c r="N46" s="672"/>
      <c r="O46" s="11"/>
      <c r="P46" s="107" t="str">
        <f t="shared" si="48"/>
        <v/>
      </c>
      <c r="Q46" s="699"/>
      <c r="R46" s="702"/>
      <c r="S46" s="684"/>
      <c r="T46" s="11"/>
      <c r="U46" s="107" t="str">
        <f t="shared" si="49"/>
        <v/>
      </c>
      <c r="V46" s="695"/>
      <c r="W46" s="685"/>
      <c r="X46" s="707"/>
      <c r="Y46" s="684"/>
      <c r="Z46" s="108" t="str">
        <f t="shared" si="50"/>
        <v/>
      </c>
      <c r="AA46" s="25"/>
      <c r="AB46" s="287" t="str" cm="1">
        <f t="array" ref="AB46">IF((_xlfn.IFS(TRIM(SUBSTITUTE(AA46,CHAR(160),""))="Devis 1",IFERROR(VALUE(TRIM(SUBSTITUTE(N46,CHAR(160),""))),0),TRIM(SUBSTITUTE(AA46,CHAR(160),""))="Devis 2",IFERROR(VALUE(TRIM(SUBSTITUTE(S46,CHAR(160),""))),0),TRIM(SUBSTITUTE(AA46,CHAR(160),""))="Devis 3",IFERROR(VALUE(TRIM(SUBSTITUTE(X46,CHAR(160),""))),0),TRUE,0)*IFERROR(VALUE(TRIM(SUBSTITUTE(D46,CHAR(160),""))),0))=0,"",_xlfn.IFS(TRIM(SUBSTITUTE(AA46,CHAR(160),""))="Devis 1",IFERROR(VALUE(TRIM(SUBSTITUTE(N46,CHAR(160),""))),0),TRIM(SUBSTITUTE(AA46,CHAR(160),""))="Devis 2",IFERROR(VALUE(TRIM(SUBSTITUTE(S46,CHAR(160),""))),0),TRIM(SUBSTITUTE(AA46,CHAR(160),""))="Devis 3",IFERROR(VALUE(TRIM(SUBSTITUTE(X46,CHAR(160),""))),0),TRUE,0)*IFERROR(VALUE(TRIM(SUBSTITUTE(D46,CHAR(160),""))),0))</f>
        <v/>
      </c>
      <c r="AC46" s="275" t="str" cm="1">
        <f t="array" ref="AC46">IF(_xlfn.IFS(TRIM(SUBSTITUTE(AA46,CHAR(160),""))="Devis 1",IFERROR(VALUE(TRIM(SUBSTITUTE(O46,CHAR(160),""))),0),TRIM(SUBSTITUTE(AA46,CHAR(160),""))="Devis 2",IFERROR(VALUE(TRIM(SUBSTITUTE(T46,CHAR(160),""))),0),TRIM(SUBSTITUTE(AA46,CHAR(160),""))="Devis 3",IFERROR(VALUE(TRIM(SUBSTITUTE(Y46,CHAR(160),""))),0),TRUE,0)*IFERROR(VALUE(TRIM(SUBSTITUTE(D46,CHAR(160),""))),0)=0,IF(AB46&lt;&gt;"",0,""),_xlfn.IFS(TRIM(SUBSTITUTE(AA46,CHAR(160),""))="Devis 1",IFERROR(VALUE(TRIM(SUBSTITUTE(O46,CHAR(160),""))),0),TRIM(SUBSTITUTE(AA46,CHAR(160),""))="Devis 2",IFERROR(VALUE(TRIM(SUBSTITUTE(T46,CHAR(160),""))),0),TRIM(SUBSTITUTE(AA46,CHAR(160),""))="Devis 3",IFERROR(VALUE(TRIM(SUBSTITUTE(Y46,CHAR(160),""))),0),TRUE,0)*IFERROR(VALUE(TRIM(SUBSTITUTE(D46,CHAR(160),""))),0))</f>
        <v/>
      </c>
      <c r="AD46" s="285" t="str">
        <f t="shared" si="51"/>
        <v/>
      </c>
      <c r="AE46" s="26"/>
      <c r="AF46" s="109" t="str">
        <f t="shared" si="14"/>
        <v/>
      </c>
      <c r="AG46" s="109" t="str">
        <f t="shared" si="15"/>
        <v/>
      </c>
      <c r="AH46" s="885" t="str">
        <f t="shared" si="16"/>
        <v/>
      </c>
      <c r="AI46" s="109" t="str">
        <f t="shared" si="17"/>
        <v/>
      </c>
      <c r="AJ46" s="109" t="str">
        <f t="shared" si="18"/>
        <v/>
      </c>
      <c r="AK46" s="109" t="str">
        <f t="shared" si="19"/>
        <v/>
      </c>
      <c r="AL46" s="109" t="str">
        <f t="shared" si="20"/>
        <v/>
      </c>
      <c r="AM46" s="109" t="str">
        <f t="shared" si="21"/>
        <v/>
      </c>
      <c r="AN46" s="109" t="str">
        <f t="shared" si="22"/>
        <v/>
      </c>
      <c r="AO46" s="109" t="str">
        <f t="shared" si="23"/>
        <v/>
      </c>
      <c r="AP46" s="754" t="str">
        <f t="shared" si="24"/>
        <v/>
      </c>
      <c r="AQ46" s="755" t="str">
        <f t="shared" si="25"/>
        <v/>
      </c>
      <c r="AR46" s="195" t="str">
        <f t="shared" si="26"/>
        <v/>
      </c>
      <c r="AS46" s="195" t="str">
        <f t="shared" si="27"/>
        <v/>
      </c>
      <c r="AT46" s="664" t="str">
        <f t="shared" si="28"/>
        <v/>
      </c>
      <c r="AU46" s="756" t="str">
        <f t="shared" si="29"/>
        <v/>
      </c>
      <c r="AV46" s="195" t="str">
        <f t="shared" si="30"/>
        <v/>
      </c>
      <c r="AW46" s="195" t="str">
        <f t="shared" si="31"/>
        <v/>
      </c>
      <c r="AX46" s="195" t="str">
        <f t="shared" si="32"/>
        <v/>
      </c>
      <c r="AY46" s="728" t="str">
        <f t="shared" si="33"/>
        <v/>
      </c>
      <c r="AZ46" s="195" t="str">
        <f t="shared" si="34"/>
        <v/>
      </c>
      <c r="BA46" s="195" t="str">
        <f t="shared" si="35"/>
        <v/>
      </c>
      <c r="BB46" s="195" t="str">
        <f t="shared" si="36"/>
        <v/>
      </c>
      <c r="BC46" s="195" t="str">
        <f t="shared" si="37"/>
        <v/>
      </c>
      <c r="BD46" s="112" t="str">
        <f t="shared" si="38"/>
        <v/>
      </c>
      <c r="BE46" s="109" t="str">
        <f t="shared" si="39"/>
        <v/>
      </c>
      <c r="BF46" s="602"/>
      <c r="BG46" s="113" t="str">
        <f t="shared" si="40"/>
        <v/>
      </c>
      <c r="BH46" s="113" t="str">
        <f t="shared" si="41"/>
        <v/>
      </c>
      <c r="BI46" s="113" t="str">
        <f t="shared" si="42"/>
        <v/>
      </c>
      <c r="BJ46" s="281" t="str" cm="1">
        <f t="array" ref="BJ46">IF($AH46="","",
_xlfn.IFS(
$BE46="Devis 1",
IF(ISBLANK(AR46),"",IFERROR(VALUE(TRIM(SUBSTITUTE(AR46,CHAR(160),""))),0)*IFERROR(VALUE(TRIM(SUBSTITUTE($AH46,CHAR(160),""))),0)),
$BE46="Devis 2",
IF(ISBLANK(AW46),"",IFERROR(VALUE(TRIM(SUBSTITUTE(AW46,CHAR(160),""))),0)*IFERROR(VALUE(TRIM(SUBSTITUTE($AH46,CHAR(160),""))),0)),
$BE46="Devis 3",
IF(ISBLANK(BB46),"",IFERROR(VALUE(TRIM(SUBSTITUTE(BB46,CHAR(160),""))),0)*IFERROR(VALUE(TRIM(SUBSTITUTE($AH46,CHAR(160),""))),0)),
TRUE,0
)
)</f>
        <v/>
      </c>
      <c r="BK46" s="281" t="str" cm="1">
        <f t="array" ref="BK46">IF($AH46="","",
_xlfn.IFS(
$BE46="Devis 1",
IF(ISBLANK(AS46),"",IFERROR(VALUE(TRIM(SUBSTITUTE(AS46,CHAR(160),""))),0)*IFERROR(VALUE(TRIM(SUBSTITUTE($AH46,CHAR(160),""))),0)),
$BE46="Devis 2",
IF(ISBLANK(AX46),"",IFERROR(VALUE(TRIM(SUBSTITUTE(AX46,CHAR(160),""))),0)*IFERROR(VALUE(TRIM(SUBSTITUTE($AH46,CHAR(160),""))),0)),
$BE46="Devis 3",
IF(ISBLANK(BC46),"",IFERROR(VALUE(TRIM(SUBSTITUTE(BC46,CHAR(160),""))),0)*IFERROR(VALUE(TRIM(SUBSTITUTE($AH46,CHAR(160),""))),0)),
TRUE,0
)
)</f>
        <v/>
      </c>
      <c r="BL46" s="281" t="str">
        <f t="shared" si="43"/>
        <v/>
      </c>
      <c r="BM46" s="602"/>
      <c r="BN46" s="23" t="str" cm="1">
        <f t="array" ref="BN46">IF(OR(BL46="",BI46="",BJ46="",BG46="",BK46="",BH46=""),"",_xlfn.IFS(
ROUND(IFERROR(VALUE(TRIM(SUBSTITUTE(BL46,CHAR(160),""))),0),2)&gt;
ROUND(IFERROR(VALUE(TRIM(SUBSTITUTE(BI46,CHAR(160),""))),0),2),
"KO : Le montant retenu TTC est supérieur au montant raisonnable TTC. Merci de revoir la ligne de dépense ou plafonner son montant.",
ROUND(IFERROR(VALUE(TRIM(SUBSTITUTE(BJ46,CHAR(160),""))),0),2)&gt;
ROUND(IFERROR(VALUE(TRIM(SUBSTITUTE(BG46,CHAR(160),""))),0),2),
"Attention : Le montant retenu HT est supérieur au montant HT raisonnable. Merci de revoir la ligne de dépense, plafonner son montant, ou justifier la reventillation HT / TVA.",
ROUND(IFERROR(VALUE(TRIM(SUBSTITUTE(BK46,CHAR(160),""))),0),2)&gt;
ROUND(IFERROR(VALUE(TRIM(SUBSTITUTE(BH46,CHAR(160),""))),0),2),
"Attention : Le montant TVA retenu est supérieur au montant TVA raisonnable. Merci de revoir la ligne de dépense, plafonner son montant, ou justifier la reventillation HT / TVA.",
ROUND(IFERROR(VALUE(TRIM(SUBSTITUTE(BL46,CHAR(160),""))),0),2)&gt;
ROUND(IFERROR(VALUE(TRIM(SUBSTITUTE(MIN(P46,U46,Z46),CHAR(160),""))),0),2),
"Attention : Le devis retenu n'est pas le moins cher. Une justification de la part du porteur est nécessaire.",
ROUND(IFERROR(VALUE(TRIM(SUBSTITUTE(BL46,CHAR(160),""))),0),2)=0,
"Attention : montant présenté entièrement écarté",
ROUND(IFERROR(VALUE(TRIM(SUBSTITUTE(BI46,CHAR(160),""))),0),2)=
ROUND(IFERROR(VALUE(TRIM(SUBSTITUTE(BL46,CHAR(160),""))),0),2),
"OK",
ROUND(IFERROR(VALUE(TRIM(SUBSTITUTE(BI46,CHAR(160),""))),0),2)&gt;
ROUND(IFERROR(VALUE(TRIM(SUBSTITUTE(BL46,CHAR(160),""))),0),2),
" OK : Montant instruit inférieur au montant raisonnable.",
TRUE,""
))</f>
        <v/>
      </c>
      <c r="BO46" s="23" t="str" cm="1">
        <f t="array" ref="BO46">IF(OR(BL46="",AD46="",BJ46="",AB46="",BK46="",AC46=""),"",_xlfn.IFS(
ROUND(IFERROR(VALUE(TRIM(SUBSTITUTE(BL46,CHAR(160),""))),0),2)&gt;
ROUND(IFERROR(VALUE(TRIM(SUBSTITUTE(AD46,CHAR(160),""))),0),2),
"KO : Le montant retenu TTC est supérieur au montant présenté TTC. Merci de revoir la ligne de dépense ou plafonner son montant.",
ROUND(IFERROR(VALUE(TRIM(SUBSTITUTE(BJ46,CHAR(160),""))),0),2)&gt;
ROUND(IFERROR(VALUE(TRIM(SUBSTITUTE(AB46,CHAR(160),""))),0),2),
"Attention : Le montant retenu HT est supérieur au montant HT présenté. Merci de revoir la ligne de dépense, plafonner son montant, ou justifier la reventillation HT / TVA.",
ROUND(IFERROR(VALUE(TRIM(SUBSTITUTE(BK46,CHAR(160),""))),0),2)&gt;
ROUND(IFERROR(VALUE(TRIM(SUBSTITUTE(AC46,CHAR(160),""))),0),2),
"Attention : Le montant TVA retenu est supérieur au montant TVA présenté. Merci de revoir la ligne de dépense, plafonner son montant, ou justifier la reventillation HT / TVA.",
ROUND(IFERROR(VALUE(TRIM(SUBSTITUTE(AD46,CHAR(160),""))),0),2)=0,
"",
ROUND(IFERROR(VALUE(TRIM(SUBSTITUTE(BL46,CHAR(160),""))),0),2)=
ROUND(IFERROR(VALUE(TRIM(SUBSTITUTE(AD46,CHAR(160),""))),0),2),
"OK",
ROUND(IFERROR(VALUE(TRIM(SUBSTITUTE(BL46,CHAR(160),""))),0),2)=0,
"Attention : Montant présenté entièrement rejeté.",
ROUND(IFERROR(VALUE(TRIM(SUBSTITUTE(BL46,CHAR(160),""))),0),2)&lt;
ROUND(IFERROR(VALUE(TRIM(SUBSTITUTE(AD46,CHAR(160),""))),0),2),
"Attention : Montant présenté partiellement rejeté.",
TRUE,""
))</f>
        <v/>
      </c>
      <c r="BP46" s="113" t="str">
        <f t="shared" si="44"/>
        <v/>
      </c>
      <c r="BQ46" s="113" t="str">
        <f t="shared" si="45"/>
        <v/>
      </c>
      <c r="BR46" s="33" t="str">
        <f t="shared" si="46"/>
        <v/>
      </c>
    </row>
    <row r="47" spans="1:70" ht="15" customHeight="1">
      <c r="A47" s="193">
        <v>39</v>
      </c>
      <c r="B47" s="7"/>
      <c r="C47" s="7"/>
      <c r="D47" s="19"/>
      <c r="E47" s="7"/>
      <c r="F47" s="7"/>
      <c r="G47" s="7"/>
      <c r="H47" s="7"/>
      <c r="I47" s="28"/>
      <c r="J47" s="7"/>
      <c r="K47" s="29"/>
      <c r="L47" s="678"/>
      <c r="M47" s="7"/>
      <c r="N47" s="672"/>
      <c r="O47" s="11"/>
      <c r="P47" s="107" t="str">
        <f t="shared" si="48"/>
        <v/>
      </c>
      <c r="Q47" s="699"/>
      <c r="R47" s="702"/>
      <c r="S47" s="684"/>
      <c r="T47" s="11"/>
      <c r="U47" s="107" t="str">
        <f t="shared" si="49"/>
        <v/>
      </c>
      <c r="V47" s="695"/>
      <c r="W47" s="685"/>
      <c r="X47" s="707"/>
      <c r="Y47" s="684"/>
      <c r="Z47" s="108" t="str">
        <f t="shared" si="50"/>
        <v/>
      </c>
      <c r="AA47" s="25"/>
      <c r="AB47" s="287" t="str" cm="1">
        <f t="array" ref="AB47">IF((_xlfn.IFS(TRIM(SUBSTITUTE(AA47,CHAR(160),""))="Devis 1",IFERROR(VALUE(TRIM(SUBSTITUTE(N47,CHAR(160),""))),0),TRIM(SUBSTITUTE(AA47,CHAR(160),""))="Devis 2",IFERROR(VALUE(TRIM(SUBSTITUTE(S47,CHAR(160),""))),0),TRIM(SUBSTITUTE(AA47,CHAR(160),""))="Devis 3",IFERROR(VALUE(TRIM(SUBSTITUTE(X47,CHAR(160),""))),0),TRUE,0)*IFERROR(VALUE(TRIM(SUBSTITUTE(D47,CHAR(160),""))),0))=0,"",_xlfn.IFS(TRIM(SUBSTITUTE(AA47,CHAR(160),""))="Devis 1",IFERROR(VALUE(TRIM(SUBSTITUTE(N47,CHAR(160),""))),0),TRIM(SUBSTITUTE(AA47,CHAR(160),""))="Devis 2",IFERROR(VALUE(TRIM(SUBSTITUTE(S47,CHAR(160),""))),0),TRIM(SUBSTITUTE(AA47,CHAR(160),""))="Devis 3",IFERROR(VALUE(TRIM(SUBSTITUTE(X47,CHAR(160),""))),0),TRUE,0)*IFERROR(VALUE(TRIM(SUBSTITUTE(D47,CHAR(160),""))),0))</f>
        <v/>
      </c>
      <c r="AC47" s="275" t="str" cm="1">
        <f t="array" ref="AC47">IF(_xlfn.IFS(TRIM(SUBSTITUTE(AA47,CHAR(160),""))="Devis 1",IFERROR(VALUE(TRIM(SUBSTITUTE(O47,CHAR(160),""))),0),TRIM(SUBSTITUTE(AA47,CHAR(160),""))="Devis 2",IFERROR(VALUE(TRIM(SUBSTITUTE(T47,CHAR(160),""))),0),TRIM(SUBSTITUTE(AA47,CHAR(160),""))="Devis 3",IFERROR(VALUE(TRIM(SUBSTITUTE(Y47,CHAR(160),""))),0),TRUE,0)*IFERROR(VALUE(TRIM(SUBSTITUTE(D47,CHAR(160),""))),0)=0,IF(AB47&lt;&gt;"",0,""),_xlfn.IFS(TRIM(SUBSTITUTE(AA47,CHAR(160),""))="Devis 1",IFERROR(VALUE(TRIM(SUBSTITUTE(O47,CHAR(160),""))),0),TRIM(SUBSTITUTE(AA47,CHAR(160),""))="Devis 2",IFERROR(VALUE(TRIM(SUBSTITUTE(T47,CHAR(160),""))),0),TRIM(SUBSTITUTE(AA47,CHAR(160),""))="Devis 3",IFERROR(VALUE(TRIM(SUBSTITUTE(Y47,CHAR(160),""))),0),TRUE,0)*IFERROR(VALUE(TRIM(SUBSTITUTE(D47,CHAR(160),""))),0))</f>
        <v/>
      </c>
      <c r="AD47" s="285" t="str">
        <f t="shared" si="51"/>
        <v/>
      </c>
      <c r="AE47" s="26"/>
      <c r="AF47" s="109" t="str">
        <f t="shared" si="14"/>
        <v/>
      </c>
      <c r="AG47" s="109" t="str">
        <f t="shared" si="15"/>
        <v/>
      </c>
      <c r="AH47" s="885" t="str">
        <f t="shared" si="16"/>
        <v/>
      </c>
      <c r="AI47" s="109" t="str">
        <f t="shared" si="17"/>
        <v/>
      </c>
      <c r="AJ47" s="109" t="str">
        <f t="shared" si="18"/>
        <v/>
      </c>
      <c r="AK47" s="109" t="str">
        <f t="shared" si="19"/>
        <v/>
      </c>
      <c r="AL47" s="109" t="str">
        <f t="shared" si="20"/>
        <v/>
      </c>
      <c r="AM47" s="109" t="str">
        <f t="shared" si="21"/>
        <v/>
      </c>
      <c r="AN47" s="109" t="str">
        <f t="shared" si="22"/>
        <v/>
      </c>
      <c r="AO47" s="109" t="str">
        <f t="shared" si="23"/>
        <v/>
      </c>
      <c r="AP47" s="754" t="str">
        <f t="shared" si="24"/>
        <v/>
      </c>
      <c r="AQ47" s="755" t="str">
        <f t="shared" si="25"/>
        <v/>
      </c>
      <c r="AR47" s="195" t="str">
        <f t="shared" si="26"/>
        <v/>
      </c>
      <c r="AS47" s="195" t="str">
        <f t="shared" si="27"/>
        <v/>
      </c>
      <c r="AT47" s="664" t="str">
        <f t="shared" si="28"/>
        <v/>
      </c>
      <c r="AU47" s="756" t="str">
        <f t="shared" si="29"/>
        <v/>
      </c>
      <c r="AV47" s="195" t="str">
        <f t="shared" si="30"/>
        <v/>
      </c>
      <c r="AW47" s="195" t="str">
        <f t="shared" si="31"/>
        <v/>
      </c>
      <c r="AX47" s="195" t="str">
        <f t="shared" si="32"/>
        <v/>
      </c>
      <c r="AY47" s="728" t="str">
        <f t="shared" si="33"/>
        <v/>
      </c>
      <c r="AZ47" s="195" t="str">
        <f t="shared" si="34"/>
        <v/>
      </c>
      <c r="BA47" s="195" t="str">
        <f t="shared" si="35"/>
        <v/>
      </c>
      <c r="BB47" s="195" t="str">
        <f t="shared" si="36"/>
        <v/>
      </c>
      <c r="BC47" s="195" t="str">
        <f t="shared" si="37"/>
        <v/>
      </c>
      <c r="BD47" s="112" t="str">
        <f t="shared" si="38"/>
        <v/>
      </c>
      <c r="BE47" s="109" t="str">
        <f t="shared" si="39"/>
        <v/>
      </c>
      <c r="BF47" s="602"/>
      <c r="BG47" s="113" t="str">
        <f t="shared" si="40"/>
        <v/>
      </c>
      <c r="BH47" s="113" t="str">
        <f t="shared" si="41"/>
        <v/>
      </c>
      <c r="BI47" s="113" t="str">
        <f t="shared" si="42"/>
        <v/>
      </c>
      <c r="BJ47" s="281" t="str" cm="1">
        <f t="array" ref="BJ47">IF($AH47="","",
_xlfn.IFS(
$BE47="Devis 1",
IF(ISBLANK(AR47),"",IFERROR(VALUE(TRIM(SUBSTITUTE(AR47,CHAR(160),""))),0)*IFERROR(VALUE(TRIM(SUBSTITUTE($AH47,CHAR(160),""))),0)),
$BE47="Devis 2",
IF(ISBLANK(AW47),"",IFERROR(VALUE(TRIM(SUBSTITUTE(AW47,CHAR(160),""))),0)*IFERROR(VALUE(TRIM(SUBSTITUTE($AH47,CHAR(160),""))),0)),
$BE47="Devis 3",
IF(ISBLANK(BB47),"",IFERROR(VALUE(TRIM(SUBSTITUTE(BB47,CHAR(160),""))),0)*IFERROR(VALUE(TRIM(SUBSTITUTE($AH47,CHAR(160),""))),0)),
TRUE,0
)
)</f>
        <v/>
      </c>
      <c r="BK47" s="281" t="str" cm="1">
        <f t="array" ref="BK47">IF($AH47="","",
_xlfn.IFS(
$BE47="Devis 1",
IF(ISBLANK(AS47),"",IFERROR(VALUE(TRIM(SUBSTITUTE(AS47,CHAR(160),""))),0)*IFERROR(VALUE(TRIM(SUBSTITUTE($AH47,CHAR(160),""))),0)),
$BE47="Devis 2",
IF(ISBLANK(AX47),"",IFERROR(VALUE(TRIM(SUBSTITUTE(AX47,CHAR(160),""))),0)*IFERROR(VALUE(TRIM(SUBSTITUTE($AH47,CHAR(160),""))),0)),
$BE47="Devis 3",
IF(ISBLANK(BC47),"",IFERROR(VALUE(TRIM(SUBSTITUTE(BC47,CHAR(160),""))),0)*IFERROR(VALUE(TRIM(SUBSTITUTE($AH47,CHAR(160),""))),0)),
TRUE,0
)
)</f>
        <v/>
      </c>
      <c r="BL47" s="281" t="str">
        <f t="shared" si="43"/>
        <v/>
      </c>
      <c r="BM47" s="602"/>
      <c r="BN47" s="23" t="str" cm="1">
        <f t="array" ref="BN47">IF(OR(BL47="",BI47="",BJ47="",BG47="",BK47="",BH47=""),"",_xlfn.IFS(
ROUND(IFERROR(VALUE(TRIM(SUBSTITUTE(BL47,CHAR(160),""))),0),2)&gt;
ROUND(IFERROR(VALUE(TRIM(SUBSTITUTE(BI47,CHAR(160),""))),0),2),
"KO : Le montant retenu TTC est supérieur au montant raisonnable TTC. Merci de revoir la ligne de dépense ou plafonner son montant.",
ROUND(IFERROR(VALUE(TRIM(SUBSTITUTE(BJ47,CHAR(160),""))),0),2)&gt;
ROUND(IFERROR(VALUE(TRIM(SUBSTITUTE(BG47,CHAR(160),""))),0),2),
"Attention : Le montant retenu HT est supérieur au montant HT raisonnable. Merci de revoir la ligne de dépense, plafonner son montant, ou justifier la reventillation HT / TVA.",
ROUND(IFERROR(VALUE(TRIM(SUBSTITUTE(BK47,CHAR(160),""))),0),2)&gt;
ROUND(IFERROR(VALUE(TRIM(SUBSTITUTE(BH47,CHAR(160),""))),0),2),
"Attention : Le montant TVA retenu est supérieur au montant TVA raisonnable. Merci de revoir la ligne de dépense, plafonner son montant, ou justifier la reventillation HT / TVA.",
ROUND(IFERROR(VALUE(TRIM(SUBSTITUTE(BL47,CHAR(160),""))),0),2)&gt;
ROUND(IFERROR(VALUE(TRIM(SUBSTITUTE(MIN(P47,U47,Z47),CHAR(160),""))),0),2),
"Attention : Le devis retenu n'est pas le moins cher. Une justification de la part du porteur est nécessaire.",
ROUND(IFERROR(VALUE(TRIM(SUBSTITUTE(BL47,CHAR(160),""))),0),2)=0,
"Attention : montant présenté entièrement écarté",
ROUND(IFERROR(VALUE(TRIM(SUBSTITUTE(BI47,CHAR(160),""))),0),2)=
ROUND(IFERROR(VALUE(TRIM(SUBSTITUTE(BL47,CHAR(160),""))),0),2),
"OK",
ROUND(IFERROR(VALUE(TRIM(SUBSTITUTE(BI47,CHAR(160),""))),0),2)&gt;
ROUND(IFERROR(VALUE(TRIM(SUBSTITUTE(BL47,CHAR(160),""))),0),2),
" OK : Montant instruit inférieur au montant raisonnable.",
TRUE,""
))</f>
        <v/>
      </c>
      <c r="BO47" s="23" t="str" cm="1">
        <f t="array" ref="BO47">IF(OR(BL47="",AD47="",BJ47="",AB47="",BK47="",AC47=""),"",_xlfn.IFS(
ROUND(IFERROR(VALUE(TRIM(SUBSTITUTE(BL47,CHAR(160),""))),0),2)&gt;
ROUND(IFERROR(VALUE(TRIM(SUBSTITUTE(AD47,CHAR(160),""))),0),2),
"KO : Le montant retenu TTC est supérieur au montant présenté TTC. Merci de revoir la ligne de dépense ou plafonner son montant.",
ROUND(IFERROR(VALUE(TRIM(SUBSTITUTE(BJ47,CHAR(160),""))),0),2)&gt;
ROUND(IFERROR(VALUE(TRIM(SUBSTITUTE(AB47,CHAR(160),""))),0),2),
"Attention : Le montant retenu HT est supérieur au montant HT présenté. Merci de revoir la ligne de dépense, plafonner son montant, ou justifier la reventillation HT / TVA.",
ROUND(IFERROR(VALUE(TRIM(SUBSTITUTE(BK47,CHAR(160),""))),0),2)&gt;
ROUND(IFERROR(VALUE(TRIM(SUBSTITUTE(AC47,CHAR(160),""))),0),2),
"Attention : Le montant TVA retenu est supérieur au montant TVA présenté. Merci de revoir la ligne de dépense, plafonner son montant, ou justifier la reventillation HT / TVA.",
ROUND(IFERROR(VALUE(TRIM(SUBSTITUTE(AD47,CHAR(160),""))),0),2)=0,
"",
ROUND(IFERROR(VALUE(TRIM(SUBSTITUTE(BL47,CHAR(160),""))),0),2)=
ROUND(IFERROR(VALUE(TRIM(SUBSTITUTE(AD47,CHAR(160),""))),0),2),
"OK",
ROUND(IFERROR(VALUE(TRIM(SUBSTITUTE(BL47,CHAR(160),""))),0),2)=0,
"Attention : Montant présenté entièrement rejeté.",
ROUND(IFERROR(VALUE(TRIM(SUBSTITUTE(BL47,CHAR(160),""))),0),2)&lt;
ROUND(IFERROR(VALUE(TRIM(SUBSTITUTE(AD47,CHAR(160),""))),0),2),
"Attention : Montant présenté partiellement rejeté.",
TRUE,""
))</f>
        <v/>
      </c>
      <c r="BP47" s="113" t="str">
        <f t="shared" si="44"/>
        <v/>
      </c>
      <c r="BQ47" s="113" t="str">
        <f t="shared" si="45"/>
        <v/>
      </c>
      <c r="BR47" s="33" t="str">
        <f t="shared" si="46"/>
        <v/>
      </c>
    </row>
    <row r="48" spans="1:70" ht="15" customHeight="1">
      <c r="A48" s="193">
        <v>40</v>
      </c>
      <c r="B48" s="7"/>
      <c r="C48" s="7"/>
      <c r="D48" s="19"/>
      <c r="E48" s="7"/>
      <c r="F48" s="7"/>
      <c r="G48" s="7"/>
      <c r="H48" s="7"/>
      <c r="I48" s="28"/>
      <c r="J48" s="7"/>
      <c r="K48" s="29"/>
      <c r="L48" s="678"/>
      <c r="M48" s="7"/>
      <c r="N48" s="672"/>
      <c r="O48" s="11"/>
      <c r="P48" s="107" t="str">
        <f t="shared" si="48"/>
        <v/>
      </c>
      <c r="Q48" s="699"/>
      <c r="R48" s="702"/>
      <c r="S48" s="684"/>
      <c r="T48" s="11"/>
      <c r="U48" s="107" t="str">
        <f t="shared" si="49"/>
        <v/>
      </c>
      <c r="V48" s="695"/>
      <c r="W48" s="685"/>
      <c r="X48" s="707"/>
      <c r="Y48" s="684"/>
      <c r="Z48" s="108" t="str">
        <f t="shared" si="50"/>
        <v/>
      </c>
      <c r="AA48" s="25"/>
      <c r="AB48" s="287" t="str" cm="1">
        <f t="array" ref="AB48">IF((_xlfn.IFS(TRIM(SUBSTITUTE(AA48,CHAR(160),""))="Devis 1",IFERROR(VALUE(TRIM(SUBSTITUTE(N48,CHAR(160),""))),0),TRIM(SUBSTITUTE(AA48,CHAR(160),""))="Devis 2",IFERROR(VALUE(TRIM(SUBSTITUTE(S48,CHAR(160),""))),0),TRIM(SUBSTITUTE(AA48,CHAR(160),""))="Devis 3",IFERROR(VALUE(TRIM(SUBSTITUTE(X48,CHAR(160),""))),0),TRUE,0)*IFERROR(VALUE(TRIM(SUBSTITUTE(D48,CHAR(160),""))),0))=0,"",_xlfn.IFS(TRIM(SUBSTITUTE(AA48,CHAR(160),""))="Devis 1",IFERROR(VALUE(TRIM(SUBSTITUTE(N48,CHAR(160),""))),0),TRIM(SUBSTITUTE(AA48,CHAR(160),""))="Devis 2",IFERROR(VALUE(TRIM(SUBSTITUTE(S48,CHAR(160),""))),0),TRIM(SUBSTITUTE(AA48,CHAR(160),""))="Devis 3",IFERROR(VALUE(TRIM(SUBSTITUTE(X48,CHAR(160),""))),0),TRUE,0)*IFERROR(VALUE(TRIM(SUBSTITUTE(D48,CHAR(160),""))),0))</f>
        <v/>
      </c>
      <c r="AC48" s="275" t="str" cm="1">
        <f t="array" ref="AC48">IF(_xlfn.IFS(TRIM(SUBSTITUTE(AA48,CHAR(160),""))="Devis 1",IFERROR(VALUE(TRIM(SUBSTITUTE(O48,CHAR(160),""))),0),TRIM(SUBSTITUTE(AA48,CHAR(160),""))="Devis 2",IFERROR(VALUE(TRIM(SUBSTITUTE(T48,CHAR(160),""))),0),TRIM(SUBSTITUTE(AA48,CHAR(160),""))="Devis 3",IFERROR(VALUE(TRIM(SUBSTITUTE(Y48,CHAR(160),""))),0),TRUE,0)*IFERROR(VALUE(TRIM(SUBSTITUTE(D48,CHAR(160),""))),0)=0,IF(AB48&lt;&gt;"",0,""),_xlfn.IFS(TRIM(SUBSTITUTE(AA48,CHAR(160),""))="Devis 1",IFERROR(VALUE(TRIM(SUBSTITUTE(O48,CHAR(160),""))),0),TRIM(SUBSTITUTE(AA48,CHAR(160),""))="Devis 2",IFERROR(VALUE(TRIM(SUBSTITUTE(T48,CHAR(160),""))),0),TRIM(SUBSTITUTE(AA48,CHAR(160),""))="Devis 3",IFERROR(VALUE(TRIM(SUBSTITUTE(Y48,CHAR(160),""))),0),TRUE,0)*IFERROR(VALUE(TRIM(SUBSTITUTE(D48,CHAR(160),""))),0))</f>
        <v/>
      </c>
      <c r="AD48" s="285" t="str">
        <f t="shared" si="51"/>
        <v/>
      </c>
      <c r="AE48" s="26"/>
      <c r="AF48" s="109" t="str">
        <f t="shared" si="14"/>
        <v/>
      </c>
      <c r="AG48" s="109" t="str">
        <f t="shared" si="15"/>
        <v/>
      </c>
      <c r="AH48" s="885" t="str">
        <f t="shared" si="16"/>
        <v/>
      </c>
      <c r="AI48" s="109" t="str">
        <f t="shared" si="17"/>
        <v/>
      </c>
      <c r="AJ48" s="109" t="str">
        <f t="shared" si="18"/>
        <v/>
      </c>
      <c r="AK48" s="109" t="str">
        <f t="shared" si="19"/>
        <v/>
      </c>
      <c r="AL48" s="109" t="str">
        <f t="shared" si="20"/>
        <v/>
      </c>
      <c r="AM48" s="109" t="str">
        <f t="shared" si="21"/>
        <v/>
      </c>
      <c r="AN48" s="109" t="str">
        <f t="shared" si="22"/>
        <v/>
      </c>
      <c r="AO48" s="109" t="str">
        <f t="shared" si="23"/>
        <v/>
      </c>
      <c r="AP48" s="754" t="str">
        <f t="shared" si="24"/>
        <v/>
      </c>
      <c r="AQ48" s="755" t="str">
        <f t="shared" si="25"/>
        <v/>
      </c>
      <c r="AR48" s="195" t="str">
        <f t="shared" si="26"/>
        <v/>
      </c>
      <c r="AS48" s="195" t="str">
        <f t="shared" si="27"/>
        <v/>
      </c>
      <c r="AT48" s="664" t="str">
        <f t="shared" si="28"/>
        <v/>
      </c>
      <c r="AU48" s="756" t="str">
        <f t="shared" si="29"/>
        <v/>
      </c>
      <c r="AV48" s="195" t="str">
        <f t="shared" si="30"/>
        <v/>
      </c>
      <c r="AW48" s="195" t="str">
        <f t="shared" si="31"/>
        <v/>
      </c>
      <c r="AX48" s="195" t="str">
        <f t="shared" si="32"/>
        <v/>
      </c>
      <c r="AY48" s="728" t="str">
        <f t="shared" si="33"/>
        <v/>
      </c>
      <c r="AZ48" s="195" t="str">
        <f t="shared" si="34"/>
        <v/>
      </c>
      <c r="BA48" s="195" t="str">
        <f t="shared" si="35"/>
        <v/>
      </c>
      <c r="BB48" s="195" t="str">
        <f t="shared" si="36"/>
        <v/>
      </c>
      <c r="BC48" s="195" t="str">
        <f t="shared" si="37"/>
        <v/>
      </c>
      <c r="BD48" s="112" t="str">
        <f t="shared" si="38"/>
        <v/>
      </c>
      <c r="BE48" s="109" t="str">
        <f t="shared" si="39"/>
        <v/>
      </c>
      <c r="BF48" s="602"/>
      <c r="BG48" s="113" t="str">
        <f t="shared" si="40"/>
        <v/>
      </c>
      <c r="BH48" s="113" t="str">
        <f t="shared" si="41"/>
        <v/>
      </c>
      <c r="BI48" s="113" t="str">
        <f t="shared" si="42"/>
        <v/>
      </c>
      <c r="BJ48" s="281" t="str" cm="1">
        <f t="array" ref="BJ48">IF($AH48="","",
_xlfn.IFS(
$BE48="Devis 1",
IF(ISBLANK(AR48),"",IFERROR(VALUE(TRIM(SUBSTITUTE(AR48,CHAR(160),""))),0)*IFERROR(VALUE(TRIM(SUBSTITUTE($AH48,CHAR(160),""))),0)),
$BE48="Devis 2",
IF(ISBLANK(AW48),"",IFERROR(VALUE(TRIM(SUBSTITUTE(AW48,CHAR(160),""))),0)*IFERROR(VALUE(TRIM(SUBSTITUTE($AH48,CHAR(160),""))),0)),
$BE48="Devis 3",
IF(ISBLANK(BB48),"",IFERROR(VALUE(TRIM(SUBSTITUTE(BB48,CHAR(160),""))),0)*IFERROR(VALUE(TRIM(SUBSTITUTE($AH48,CHAR(160),""))),0)),
TRUE,0
)
)</f>
        <v/>
      </c>
      <c r="BK48" s="281" t="str" cm="1">
        <f t="array" ref="BK48">IF($AH48="","",
_xlfn.IFS(
$BE48="Devis 1",
IF(ISBLANK(AS48),"",IFERROR(VALUE(TRIM(SUBSTITUTE(AS48,CHAR(160),""))),0)*IFERROR(VALUE(TRIM(SUBSTITUTE($AH48,CHAR(160),""))),0)),
$BE48="Devis 2",
IF(ISBLANK(AX48),"",IFERROR(VALUE(TRIM(SUBSTITUTE(AX48,CHAR(160),""))),0)*IFERROR(VALUE(TRIM(SUBSTITUTE($AH48,CHAR(160),""))),0)),
$BE48="Devis 3",
IF(ISBLANK(BC48),"",IFERROR(VALUE(TRIM(SUBSTITUTE(BC48,CHAR(160),""))),0)*IFERROR(VALUE(TRIM(SUBSTITUTE($AH48,CHAR(160),""))),0)),
TRUE,0
)
)</f>
        <v/>
      </c>
      <c r="BL48" s="281" t="str">
        <f t="shared" si="43"/>
        <v/>
      </c>
      <c r="BM48" s="602"/>
      <c r="BN48" s="23" t="str" cm="1">
        <f t="array" ref="BN48">IF(OR(BL48="",BI48="",BJ48="",BG48="",BK48="",BH48=""),"",_xlfn.IFS(
ROUND(IFERROR(VALUE(TRIM(SUBSTITUTE(BL48,CHAR(160),""))),0),2)&gt;
ROUND(IFERROR(VALUE(TRIM(SUBSTITUTE(BI48,CHAR(160),""))),0),2),
"KO : Le montant retenu TTC est supérieur au montant raisonnable TTC. Merci de revoir la ligne de dépense ou plafonner son montant.",
ROUND(IFERROR(VALUE(TRIM(SUBSTITUTE(BJ48,CHAR(160),""))),0),2)&gt;
ROUND(IFERROR(VALUE(TRIM(SUBSTITUTE(BG48,CHAR(160),""))),0),2),
"Attention : Le montant retenu HT est supérieur au montant HT raisonnable. Merci de revoir la ligne de dépense, plafonner son montant, ou justifier la reventillation HT / TVA.",
ROUND(IFERROR(VALUE(TRIM(SUBSTITUTE(BK48,CHAR(160),""))),0),2)&gt;
ROUND(IFERROR(VALUE(TRIM(SUBSTITUTE(BH48,CHAR(160),""))),0),2),
"Attention : Le montant TVA retenu est supérieur au montant TVA raisonnable. Merci de revoir la ligne de dépense, plafonner son montant, ou justifier la reventillation HT / TVA.",
ROUND(IFERROR(VALUE(TRIM(SUBSTITUTE(BL48,CHAR(160),""))),0),2)&gt;
ROUND(IFERROR(VALUE(TRIM(SUBSTITUTE(MIN(P48,U48,Z48),CHAR(160),""))),0),2),
"Attention : Le devis retenu n'est pas le moins cher. Une justification de la part du porteur est nécessaire.",
ROUND(IFERROR(VALUE(TRIM(SUBSTITUTE(BL48,CHAR(160),""))),0),2)=0,
"Attention : montant présenté entièrement écarté",
ROUND(IFERROR(VALUE(TRIM(SUBSTITUTE(BI48,CHAR(160),""))),0),2)=
ROUND(IFERROR(VALUE(TRIM(SUBSTITUTE(BL48,CHAR(160),""))),0),2),
"OK",
ROUND(IFERROR(VALUE(TRIM(SUBSTITUTE(BI48,CHAR(160),""))),0),2)&gt;
ROUND(IFERROR(VALUE(TRIM(SUBSTITUTE(BL48,CHAR(160),""))),0),2),
" OK : Montant instruit inférieur au montant raisonnable.",
TRUE,""
))</f>
        <v/>
      </c>
      <c r="BO48" s="23" t="str" cm="1">
        <f t="array" ref="BO48">IF(OR(BL48="",AD48="",BJ48="",AB48="",BK48="",AC48=""),"",_xlfn.IFS(
ROUND(IFERROR(VALUE(TRIM(SUBSTITUTE(BL48,CHAR(160),""))),0),2)&gt;
ROUND(IFERROR(VALUE(TRIM(SUBSTITUTE(AD48,CHAR(160),""))),0),2),
"KO : Le montant retenu TTC est supérieur au montant présenté TTC. Merci de revoir la ligne de dépense ou plafonner son montant.",
ROUND(IFERROR(VALUE(TRIM(SUBSTITUTE(BJ48,CHAR(160),""))),0),2)&gt;
ROUND(IFERROR(VALUE(TRIM(SUBSTITUTE(AB48,CHAR(160),""))),0),2),
"Attention : Le montant retenu HT est supérieur au montant HT présenté. Merci de revoir la ligne de dépense, plafonner son montant, ou justifier la reventillation HT / TVA.",
ROUND(IFERROR(VALUE(TRIM(SUBSTITUTE(BK48,CHAR(160),""))),0),2)&gt;
ROUND(IFERROR(VALUE(TRIM(SUBSTITUTE(AC48,CHAR(160),""))),0),2),
"Attention : Le montant TVA retenu est supérieur au montant TVA présenté. Merci de revoir la ligne de dépense, plafonner son montant, ou justifier la reventillation HT / TVA.",
ROUND(IFERROR(VALUE(TRIM(SUBSTITUTE(AD48,CHAR(160),""))),0),2)=0,
"",
ROUND(IFERROR(VALUE(TRIM(SUBSTITUTE(BL48,CHAR(160),""))),0),2)=
ROUND(IFERROR(VALUE(TRIM(SUBSTITUTE(AD48,CHAR(160),""))),0),2),
"OK",
ROUND(IFERROR(VALUE(TRIM(SUBSTITUTE(BL48,CHAR(160),""))),0),2)=0,
"Attention : Montant présenté entièrement rejeté.",
ROUND(IFERROR(VALUE(TRIM(SUBSTITUTE(BL48,CHAR(160),""))),0),2)&lt;
ROUND(IFERROR(VALUE(TRIM(SUBSTITUTE(AD48,CHAR(160),""))),0),2),
"Attention : Montant présenté partiellement rejeté.",
TRUE,""
))</f>
        <v/>
      </c>
      <c r="BP48" s="113" t="str">
        <f t="shared" si="44"/>
        <v/>
      </c>
      <c r="BQ48" s="113" t="str">
        <f t="shared" si="45"/>
        <v/>
      </c>
      <c r="BR48" s="33" t="str">
        <f t="shared" si="46"/>
        <v/>
      </c>
    </row>
    <row r="49" spans="1:70" ht="15" customHeight="1">
      <c r="A49" s="193">
        <v>41</v>
      </c>
      <c r="B49" s="7"/>
      <c r="C49" s="7"/>
      <c r="D49" s="19"/>
      <c r="E49" s="7"/>
      <c r="F49" s="7"/>
      <c r="G49" s="7"/>
      <c r="H49" s="7"/>
      <c r="I49" s="28"/>
      <c r="J49" s="7"/>
      <c r="K49" s="29"/>
      <c r="L49" s="678"/>
      <c r="M49" s="7"/>
      <c r="N49" s="672"/>
      <c r="O49" s="11"/>
      <c r="P49" s="107" t="str">
        <f t="shared" si="48"/>
        <v/>
      </c>
      <c r="Q49" s="699"/>
      <c r="R49" s="702"/>
      <c r="S49" s="684"/>
      <c r="T49" s="11"/>
      <c r="U49" s="107" t="str">
        <f t="shared" si="49"/>
        <v/>
      </c>
      <c r="V49" s="695"/>
      <c r="W49" s="685"/>
      <c r="X49" s="707"/>
      <c r="Y49" s="684"/>
      <c r="Z49" s="108" t="str">
        <f t="shared" si="50"/>
        <v/>
      </c>
      <c r="AA49" s="25"/>
      <c r="AB49" s="287" t="str" cm="1">
        <f t="array" ref="AB49">IF((_xlfn.IFS(TRIM(SUBSTITUTE(AA49,CHAR(160),""))="Devis 1",IFERROR(VALUE(TRIM(SUBSTITUTE(N49,CHAR(160),""))),0),TRIM(SUBSTITUTE(AA49,CHAR(160),""))="Devis 2",IFERROR(VALUE(TRIM(SUBSTITUTE(S49,CHAR(160),""))),0),TRIM(SUBSTITUTE(AA49,CHAR(160),""))="Devis 3",IFERROR(VALUE(TRIM(SUBSTITUTE(X49,CHAR(160),""))),0),TRUE,0)*IFERROR(VALUE(TRIM(SUBSTITUTE(D49,CHAR(160),""))),0))=0,"",_xlfn.IFS(TRIM(SUBSTITUTE(AA49,CHAR(160),""))="Devis 1",IFERROR(VALUE(TRIM(SUBSTITUTE(N49,CHAR(160),""))),0),TRIM(SUBSTITUTE(AA49,CHAR(160),""))="Devis 2",IFERROR(VALUE(TRIM(SUBSTITUTE(S49,CHAR(160),""))),0),TRIM(SUBSTITUTE(AA49,CHAR(160),""))="Devis 3",IFERROR(VALUE(TRIM(SUBSTITUTE(X49,CHAR(160),""))),0),TRUE,0)*IFERROR(VALUE(TRIM(SUBSTITUTE(D49,CHAR(160),""))),0))</f>
        <v/>
      </c>
      <c r="AC49" s="275" t="str" cm="1">
        <f t="array" ref="AC49">IF(_xlfn.IFS(TRIM(SUBSTITUTE(AA49,CHAR(160),""))="Devis 1",IFERROR(VALUE(TRIM(SUBSTITUTE(O49,CHAR(160),""))),0),TRIM(SUBSTITUTE(AA49,CHAR(160),""))="Devis 2",IFERROR(VALUE(TRIM(SUBSTITUTE(T49,CHAR(160),""))),0),TRIM(SUBSTITUTE(AA49,CHAR(160),""))="Devis 3",IFERROR(VALUE(TRIM(SUBSTITUTE(Y49,CHAR(160),""))),0),TRUE,0)*IFERROR(VALUE(TRIM(SUBSTITUTE(D49,CHAR(160),""))),0)=0,IF(AB49&lt;&gt;"",0,""),_xlfn.IFS(TRIM(SUBSTITUTE(AA49,CHAR(160),""))="Devis 1",IFERROR(VALUE(TRIM(SUBSTITUTE(O49,CHAR(160),""))),0),TRIM(SUBSTITUTE(AA49,CHAR(160),""))="Devis 2",IFERROR(VALUE(TRIM(SUBSTITUTE(T49,CHAR(160),""))),0),TRIM(SUBSTITUTE(AA49,CHAR(160),""))="Devis 3",IFERROR(VALUE(TRIM(SUBSTITUTE(Y49,CHAR(160),""))),0),TRUE,0)*IFERROR(VALUE(TRIM(SUBSTITUTE(D49,CHAR(160),""))),0))</f>
        <v/>
      </c>
      <c r="AD49" s="285" t="str">
        <f t="shared" si="51"/>
        <v/>
      </c>
      <c r="AE49" s="26"/>
      <c r="AF49" s="109" t="str">
        <f t="shared" si="14"/>
        <v/>
      </c>
      <c r="AG49" s="109" t="str">
        <f t="shared" si="15"/>
        <v/>
      </c>
      <c r="AH49" s="885" t="str">
        <f t="shared" si="16"/>
        <v/>
      </c>
      <c r="AI49" s="109" t="str">
        <f t="shared" si="17"/>
        <v/>
      </c>
      <c r="AJ49" s="109" t="str">
        <f t="shared" si="18"/>
        <v/>
      </c>
      <c r="AK49" s="109" t="str">
        <f t="shared" si="19"/>
        <v/>
      </c>
      <c r="AL49" s="109" t="str">
        <f t="shared" si="20"/>
        <v/>
      </c>
      <c r="AM49" s="109" t="str">
        <f t="shared" si="21"/>
        <v/>
      </c>
      <c r="AN49" s="109" t="str">
        <f t="shared" si="22"/>
        <v/>
      </c>
      <c r="AO49" s="109" t="str">
        <f t="shared" si="23"/>
        <v/>
      </c>
      <c r="AP49" s="754" t="str">
        <f t="shared" si="24"/>
        <v/>
      </c>
      <c r="AQ49" s="755" t="str">
        <f t="shared" si="25"/>
        <v/>
      </c>
      <c r="AR49" s="195" t="str">
        <f t="shared" si="26"/>
        <v/>
      </c>
      <c r="AS49" s="195" t="str">
        <f t="shared" si="27"/>
        <v/>
      </c>
      <c r="AT49" s="664" t="str">
        <f t="shared" si="28"/>
        <v/>
      </c>
      <c r="AU49" s="756" t="str">
        <f t="shared" si="29"/>
        <v/>
      </c>
      <c r="AV49" s="195" t="str">
        <f t="shared" si="30"/>
        <v/>
      </c>
      <c r="AW49" s="195" t="str">
        <f t="shared" si="31"/>
        <v/>
      </c>
      <c r="AX49" s="195" t="str">
        <f t="shared" si="32"/>
        <v/>
      </c>
      <c r="AY49" s="728" t="str">
        <f t="shared" si="33"/>
        <v/>
      </c>
      <c r="AZ49" s="195" t="str">
        <f t="shared" si="34"/>
        <v/>
      </c>
      <c r="BA49" s="195" t="str">
        <f t="shared" si="35"/>
        <v/>
      </c>
      <c r="BB49" s="195" t="str">
        <f t="shared" si="36"/>
        <v/>
      </c>
      <c r="BC49" s="195" t="str">
        <f t="shared" si="37"/>
        <v/>
      </c>
      <c r="BD49" s="112" t="str">
        <f t="shared" si="38"/>
        <v/>
      </c>
      <c r="BE49" s="109" t="str">
        <f t="shared" si="39"/>
        <v/>
      </c>
      <c r="BF49" s="602"/>
      <c r="BG49" s="113" t="str">
        <f t="shared" si="40"/>
        <v/>
      </c>
      <c r="BH49" s="113" t="str">
        <f t="shared" si="41"/>
        <v/>
      </c>
      <c r="BI49" s="113" t="str">
        <f t="shared" si="42"/>
        <v/>
      </c>
      <c r="BJ49" s="281" t="str" cm="1">
        <f t="array" ref="BJ49">IF($AH49="","",
_xlfn.IFS(
$BE49="Devis 1",
IF(ISBLANK(AR49),"",IFERROR(VALUE(TRIM(SUBSTITUTE(AR49,CHAR(160),""))),0)*IFERROR(VALUE(TRIM(SUBSTITUTE($AH49,CHAR(160),""))),0)),
$BE49="Devis 2",
IF(ISBLANK(AW49),"",IFERROR(VALUE(TRIM(SUBSTITUTE(AW49,CHAR(160),""))),0)*IFERROR(VALUE(TRIM(SUBSTITUTE($AH49,CHAR(160),""))),0)),
$BE49="Devis 3",
IF(ISBLANK(BB49),"",IFERROR(VALUE(TRIM(SUBSTITUTE(BB49,CHAR(160),""))),0)*IFERROR(VALUE(TRIM(SUBSTITUTE($AH49,CHAR(160),""))),0)),
TRUE,0
)
)</f>
        <v/>
      </c>
      <c r="BK49" s="281" t="str" cm="1">
        <f t="array" ref="BK49">IF($AH49="","",
_xlfn.IFS(
$BE49="Devis 1",
IF(ISBLANK(AS49),"",IFERROR(VALUE(TRIM(SUBSTITUTE(AS49,CHAR(160),""))),0)*IFERROR(VALUE(TRIM(SUBSTITUTE($AH49,CHAR(160),""))),0)),
$BE49="Devis 2",
IF(ISBLANK(AX49),"",IFERROR(VALUE(TRIM(SUBSTITUTE(AX49,CHAR(160),""))),0)*IFERROR(VALUE(TRIM(SUBSTITUTE($AH49,CHAR(160),""))),0)),
$BE49="Devis 3",
IF(ISBLANK(BC49),"",IFERROR(VALUE(TRIM(SUBSTITUTE(BC49,CHAR(160),""))),0)*IFERROR(VALUE(TRIM(SUBSTITUTE($AH49,CHAR(160),""))),0)),
TRUE,0
)
)</f>
        <v/>
      </c>
      <c r="BL49" s="281" t="str">
        <f t="shared" si="43"/>
        <v/>
      </c>
      <c r="BM49" s="602"/>
      <c r="BN49" s="23" t="str" cm="1">
        <f t="array" ref="BN49">IF(OR(BL49="",BI49="",BJ49="",BG49="",BK49="",BH49=""),"",_xlfn.IFS(
ROUND(IFERROR(VALUE(TRIM(SUBSTITUTE(BL49,CHAR(160),""))),0),2)&gt;
ROUND(IFERROR(VALUE(TRIM(SUBSTITUTE(BI49,CHAR(160),""))),0),2),
"KO : Le montant retenu TTC est supérieur au montant raisonnable TTC. Merci de revoir la ligne de dépense ou plafonner son montant.",
ROUND(IFERROR(VALUE(TRIM(SUBSTITUTE(BJ49,CHAR(160),""))),0),2)&gt;
ROUND(IFERROR(VALUE(TRIM(SUBSTITUTE(BG49,CHAR(160),""))),0),2),
"Attention : Le montant retenu HT est supérieur au montant HT raisonnable. Merci de revoir la ligne de dépense, plafonner son montant, ou justifier la reventillation HT / TVA.",
ROUND(IFERROR(VALUE(TRIM(SUBSTITUTE(BK49,CHAR(160),""))),0),2)&gt;
ROUND(IFERROR(VALUE(TRIM(SUBSTITUTE(BH49,CHAR(160),""))),0),2),
"Attention : Le montant TVA retenu est supérieur au montant TVA raisonnable. Merci de revoir la ligne de dépense, plafonner son montant, ou justifier la reventillation HT / TVA.",
ROUND(IFERROR(VALUE(TRIM(SUBSTITUTE(BL49,CHAR(160),""))),0),2)&gt;
ROUND(IFERROR(VALUE(TRIM(SUBSTITUTE(MIN(P49,U49,Z49),CHAR(160),""))),0),2),
"Attention : Le devis retenu n'est pas le moins cher. Une justification de la part du porteur est nécessaire.",
ROUND(IFERROR(VALUE(TRIM(SUBSTITUTE(BL49,CHAR(160),""))),0),2)=0,
"Attention : montant présenté entièrement écarté",
ROUND(IFERROR(VALUE(TRIM(SUBSTITUTE(BI49,CHAR(160),""))),0),2)=
ROUND(IFERROR(VALUE(TRIM(SUBSTITUTE(BL49,CHAR(160),""))),0),2),
"OK",
ROUND(IFERROR(VALUE(TRIM(SUBSTITUTE(BI49,CHAR(160),""))),0),2)&gt;
ROUND(IFERROR(VALUE(TRIM(SUBSTITUTE(BL49,CHAR(160),""))),0),2),
" OK : Montant instruit inférieur au montant raisonnable.",
TRUE,""
))</f>
        <v/>
      </c>
      <c r="BO49" s="23" t="str" cm="1">
        <f t="array" ref="BO49">IF(OR(BL49="",AD49="",BJ49="",AB49="",BK49="",AC49=""),"",_xlfn.IFS(
ROUND(IFERROR(VALUE(TRIM(SUBSTITUTE(BL49,CHAR(160),""))),0),2)&gt;
ROUND(IFERROR(VALUE(TRIM(SUBSTITUTE(AD49,CHAR(160),""))),0),2),
"KO : Le montant retenu TTC est supérieur au montant présenté TTC. Merci de revoir la ligne de dépense ou plafonner son montant.",
ROUND(IFERROR(VALUE(TRIM(SUBSTITUTE(BJ49,CHAR(160),""))),0),2)&gt;
ROUND(IFERROR(VALUE(TRIM(SUBSTITUTE(AB49,CHAR(160),""))),0),2),
"Attention : Le montant retenu HT est supérieur au montant HT présenté. Merci de revoir la ligne de dépense, plafonner son montant, ou justifier la reventillation HT / TVA.",
ROUND(IFERROR(VALUE(TRIM(SUBSTITUTE(BK49,CHAR(160),""))),0),2)&gt;
ROUND(IFERROR(VALUE(TRIM(SUBSTITUTE(AC49,CHAR(160),""))),0),2),
"Attention : Le montant TVA retenu est supérieur au montant TVA présenté. Merci de revoir la ligne de dépense, plafonner son montant, ou justifier la reventillation HT / TVA.",
ROUND(IFERROR(VALUE(TRIM(SUBSTITUTE(AD49,CHAR(160),""))),0),2)=0,
"",
ROUND(IFERROR(VALUE(TRIM(SUBSTITUTE(BL49,CHAR(160),""))),0),2)=
ROUND(IFERROR(VALUE(TRIM(SUBSTITUTE(AD49,CHAR(160),""))),0),2),
"OK",
ROUND(IFERROR(VALUE(TRIM(SUBSTITUTE(BL49,CHAR(160),""))),0),2)=0,
"Attention : Montant présenté entièrement rejeté.",
ROUND(IFERROR(VALUE(TRIM(SUBSTITUTE(BL49,CHAR(160),""))),0),2)&lt;
ROUND(IFERROR(VALUE(TRIM(SUBSTITUTE(AD49,CHAR(160),""))),0),2),
"Attention : Montant présenté partiellement rejeté.",
TRUE,""
))</f>
        <v/>
      </c>
      <c r="BP49" s="113" t="str">
        <f t="shared" si="44"/>
        <v/>
      </c>
      <c r="BQ49" s="113" t="str">
        <f t="shared" si="45"/>
        <v/>
      </c>
      <c r="BR49" s="33" t="str">
        <f t="shared" si="46"/>
        <v/>
      </c>
    </row>
    <row r="50" spans="1:70" ht="15" customHeight="1">
      <c r="A50" s="193">
        <v>42</v>
      </c>
      <c r="B50" s="7"/>
      <c r="C50" s="7"/>
      <c r="D50" s="19"/>
      <c r="E50" s="7"/>
      <c r="F50" s="7"/>
      <c r="G50" s="7"/>
      <c r="H50" s="7"/>
      <c r="I50" s="28"/>
      <c r="J50" s="7"/>
      <c r="K50" s="29"/>
      <c r="L50" s="678"/>
      <c r="M50" s="7"/>
      <c r="N50" s="672"/>
      <c r="O50" s="11"/>
      <c r="P50" s="107" t="str">
        <f t="shared" si="48"/>
        <v/>
      </c>
      <c r="Q50" s="699"/>
      <c r="R50" s="702"/>
      <c r="S50" s="684"/>
      <c r="T50" s="11"/>
      <c r="U50" s="107" t="str">
        <f t="shared" si="49"/>
        <v/>
      </c>
      <c r="V50" s="695"/>
      <c r="W50" s="685"/>
      <c r="X50" s="707"/>
      <c r="Y50" s="684"/>
      <c r="Z50" s="108" t="str">
        <f t="shared" si="50"/>
        <v/>
      </c>
      <c r="AA50" s="25"/>
      <c r="AB50" s="287" t="str" cm="1">
        <f t="array" ref="AB50">IF((_xlfn.IFS(TRIM(SUBSTITUTE(AA50,CHAR(160),""))="Devis 1",IFERROR(VALUE(TRIM(SUBSTITUTE(N50,CHAR(160),""))),0),TRIM(SUBSTITUTE(AA50,CHAR(160),""))="Devis 2",IFERROR(VALUE(TRIM(SUBSTITUTE(S50,CHAR(160),""))),0),TRIM(SUBSTITUTE(AA50,CHAR(160),""))="Devis 3",IFERROR(VALUE(TRIM(SUBSTITUTE(X50,CHAR(160),""))),0),TRUE,0)*IFERROR(VALUE(TRIM(SUBSTITUTE(D50,CHAR(160),""))),0))=0,"",_xlfn.IFS(TRIM(SUBSTITUTE(AA50,CHAR(160),""))="Devis 1",IFERROR(VALUE(TRIM(SUBSTITUTE(N50,CHAR(160),""))),0),TRIM(SUBSTITUTE(AA50,CHAR(160),""))="Devis 2",IFERROR(VALUE(TRIM(SUBSTITUTE(S50,CHAR(160),""))),0),TRIM(SUBSTITUTE(AA50,CHAR(160),""))="Devis 3",IFERROR(VALUE(TRIM(SUBSTITUTE(X50,CHAR(160),""))),0),TRUE,0)*IFERROR(VALUE(TRIM(SUBSTITUTE(D50,CHAR(160),""))),0))</f>
        <v/>
      </c>
      <c r="AC50" s="275" t="str" cm="1">
        <f t="array" ref="AC50">IF(_xlfn.IFS(TRIM(SUBSTITUTE(AA50,CHAR(160),""))="Devis 1",IFERROR(VALUE(TRIM(SUBSTITUTE(O50,CHAR(160),""))),0),TRIM(SUBSTITUTE(AA50,CHAR(160),""))="Devis 2",IFERROR(VALUE(TRIM(SUBSTITUTE(T50,CHAR(160),""))),0),TRIM(SUBSTITUTE(AA50,CHAR(160),""))="Devis 3",IFERROR(VALUE(TRIM(SUBSTITUTE(Y50,CHAR(160),""))),0),TRUE,0)*IFERROR(VALUE(TRIM(SUBSTITUTE(D50,CHAR(160),""))),0)=0,IF(AB50&lt;&gt;"",0,""),_xlfn.IFS(TRIM(SUBSTITUTE(AA50,CHAR(160),""))="Devis 1",IFERROR(VALUE(TRIM(SUBSTITUTE(O50,CHAR(160),""))),0),TRIM(SUBSTITUTE(AA50,CHAR(160),""))="Devis 2",IFERROR(VALUE(TRIM(SUBSTITUTE(T50,CHAR(160),""))),0),TRIM(SUBSTITUTE(AA50,CHAR(160),""))="Devis 3",IFERROR(VALUE(TRIM(SUBSTITUTE(Y50,CHAR(160),""))),0),TRUE,0)*IFERROR(VALUE(TRIM(SUBSTITUTE(D50,CHAR(160),""))),0))</f>
        <v/>
      </c>
      <c r="AD50" s="285" t="str">
        <f t="shared" si="51"/>
        <v/>
      </c>
      <c r="AE50" s="26"/>
      <c r="AF50" s="109" t="str">
        <f t="shared" si="14"/>
        <v/>
      </c>
      <c r="AG50" s="109" t="str">
        <f t="shared" si="15"/>
        <v/>
      </c>
      <c r="AH50" s="885" t="str">
        <f t="shared" si="16"/>
        <v/>
      </c>
      <c r="AI50" s="109" t="str">
        <f t="shared" si="17"/>
        <v/>
      </c>
      <c r="AJ50" s="109" t="str">
        <f t="shared" si="18"/>
        <v/>
      </c>
      <c r="AK50" s="109" t="str">
        <f t="shared" si="19"/>
        <v/>
      </c>
      <c r="AL50" s="109" t="str">
        <f t="shared" si="20"/>
        <v/>
      </c>
      <c r="AM50" s="109" t="str">
        <f t="shared" si="21"/>
        <v/>
      </c>
      <c r="AN50" s="109" t="str">
        <f t="shared" si="22"/>
        <v/>
      </c>
      <c r="AO50" s="109" t="str">
        <f t="shared" si="23"/>
        <v/>
      </c>
      <c r="AP50" s="754" t="str">
        <f t="shared" si="24"/>
        <v/>
      </c>
      <c r="AQ50" s="755" t="str">
        <f t="shared" si="25"/>
        <v/>
      </c>
      <c r="AR50" s="195" t="str">
        <f t="shared" si="26"/>
        <v/>
      </c>
      <c r="AS50" s="195" t="str">
        <f t="shared" si="27"/>
        <v/>
      </c>
      <c r="AT50" s="664" t="str">
        <f t="shared" si="28"/>
        <v/>
      </c>
      <c r="AU50" s="756" t="str">
        <f t="shared" si="29"/>
        <v/>
      </c>
      <c r="AV50" s="195" t="str">
        <f t="shared" si="30"/>
        <v/>
      </c>
      <c r="AW50" s="195" t="str">
        <f t="shared" si="31"/>
        <v/>
      </c>
      <c r="AX50" s="195" t="str">
        <f t="shared" si="32"/>
        <v/>
      </c>
      <c r="AY50" s="728" t="str">
        <f t="shared" si="33"/>
        <v/>
      </c>
      <c r="AZ50" s="195" t="str">
        <f t="shared" si="34"/>
        <v/>
      </c>
      <c r="BA50" s="195" t="str">
        <f t="shared" si="35"/>
        <v/>
      </c>
      <c r="BB50" s="195" t="str">
        <f t="shared" si="36"/>
        <v/>
      </c>
      <c r="BC50" s="195" t="str">
        <f t="shared" si="37"/>
        <v/>
      </c>
      <c r="BD50" s="112" t="str">
        <f t="shared" si="38"/>
        <v/>
      </c>
      <c r="BE50" s="109" t="str">
        <f t="shared" si="39"/>
        <v/>
      </c>
      <c r="BF50" s="602"/>
      <c r="BG50" s="113" t="str">
        <f t="shared" si="40"/>
        <v/>
      </c>
      <c r="BH50" s="113" t="str">
        <f t="shared" si="41"/>
        <v/>
      </c>
      <c r="BI50" s="113" t="str">
        <f t="shared" si="42"/>
        <v/>
      </c>
      <c r="BJ50" s="281" t="str" cm="1">
        <f t="array" ref="BJ50">IF($AH50="","",
_xlfn.IFS(
$BE50="Devis 1",
IF(ISBLANK(AR50),"",IFERROR(VALUE(TRIM(SUBSTITUTE(AR50,CHAR(160),""))),0)*IFERROR(VALUE(TRIM(SUBSTITUTE($AH50,CHAR(160),""))),0)),
$BE50="Devis 2",
IF(ISBLANK(AW50),"",IFERROR(VALUE(TRIM(SUBSTITUTE(AW50,CHAR(160),""))),0)*IFERROR(VALUE(TRIM(SUBSTITUTE($AH50,CHAR(160),""))),0)),
$BE50="Devis 3",
IF(ISBLANK(BB50),"",IFERROR(VALUE(TRIM(SUBSTITUTE(BB50,CHAR(160),""))),0)*IFERROR(VALUE(TRIM(SUBSTITUTE($AH50,CHAR(160),""))),0)),
TRUE,0
)
)</f>
        <v/>
      </c>
      <c r="BK50" s="281" t="str" cm="1">
        <f t="array" ref="BK50">IF($AH50="","",
_xlfn.IFS(
$BE50="Devis 1",
IF(ISBLANK(AS50),"",IFERROR(VALUE(TRIM(SUBSTITUTE(AS50,CHAR(160),""))),0)*IFERROR(VALUE(TRIM(SUBSTITUTE($AH50,CHAR(160),""))),0)),
$BE50="Devis 2",
IF(ISBLANK(AX50),"",IFERROR(VALUE(TRIM(SUBSTITUTE(AX50,CHAR(160),""))),0)*IFERROR(VALUE(TRIM(SUBSTITUTE($AH50,CHAR(160),""))),0)),
$BE50="Devis 3",
IF(ISBLANK(BC50),"",IFERROR(VALUE(TRIM(SUBSTITUTE(BC50,CHAR(160),""))),0)*IFERROR(VALUE(TRIM(SUBSTITUTE($AH50,CHAR(160),""))),0)),
TRUE,0
)
)</f>
        <v/>
      </c>
      <c r="BL50" s="281" t="str">
        <f t="shared" si="43"/>
        <v/>
      </c>
      <c r="BM50" s="602"/>
      <c r="BN50" s="23" t="str" cm="1">
        <f t="array" ref="BN50">IF(OR(BL50="",BI50="",BJ50="",BG50="",BK50="",BH50=""),"",_xlfn.IFS(
ROUND(IFERROR(VALUE(TRIM(SUBSTITUTE(BL50,CHAR(160),""))),0),2)&gt;
ROUND(IFERROR(VALUE(TRIM(SUBSTITUTE(BI50,CHAR(160),""))),0),2),
"KO : Le montant retenu TTC est supérieur au montant raisonnable TTC. Merci de revoir la ligne de dépense ou plafonner son montant.",
ROUND(IFERROR(VALUE(TRIM(SUBSTITUTE(BJ50,CHAR(160),""))),0),2)&gt;
ROUND(IFERROR(VALUE(TRIM(SUBSTITUTE(BG50,CHAR(160),""))),0),2),
"Attention : Le montant retenu HT est supérieur au montant HT raisonnable. Merci de revoir la ligne de dépense, plafonner son montant, ou justifier la reventillation HT / TVA.",
ROUND(IFERROR(VALUE(TRIM(SUBSTITUTE(BK50,CHAR(160),""))),0),2)&gt;
ROUND(IFERROR(VALUE(TRIM(SUBSTITUTE(BH50,CHAR(160),""))),0),2),
"Attention : Le montant TVA retenu est supérieur au montant TVA raisonnable. Merci de revoir la ligne de dépense, plafonner son montant, ou justifier la reventillation HT / TVA.",
ROUND(IFERROR(VALUE(TRIM(SUBSTITUTE(BL50,CHAR(160),""))),0),2)&gt;
ROUND(IFERROR(VALUE(TRIM(SUBSTITUTE(MIN(P50,U50,Z50),CHAR(160),""))),0),2),
"Attention : Le devis retenu n'est pas le moins cher. Une justification de la part du porteur est nécessaire.",
ROUND(IFERROR(VALUE(TRIM(SUBSTITUTE(BL50,CHAR(160),""))),0),2)=0,
"Attention : montant présenté entièrement écarté",
ROUND(IFERROR(VALUE(TRIM(SUBSTITUTE(BI50,CHAR(160),""))),0),2)=
ROUND(IFERROR(VALUE(TRIM(SUBSTITUTE(BL50,CHAR(160),""))),0),2),
"OK",
ROUND(IFERROR(VALUE(TRIM(SUBSTITUTE(BI50,CHAR(160),""))),0),2)&gt;
ROUND(IFERROR(VALUE(TRIM(SUBSTITUTE(BL50,CHAR(160),""))),0),2),
" OK : Montant instruit inférieur au montant raisonnable.",
TRUE,""
))</f>
        <v/>
      </c>
      <c r="BO50" s="23" t="str" cm="1">
        <f t="array" ref="BO50">IF(OR(BL50="",AD50="",BJ50="",AB50="",BK50="",AC50=""),"",_xlfn.IFS(
ROUND(IFERROR(VALUE(TRIM(SUBSTITUTE(BL50,CHAR(160),""))),0),2)&gt;
ROUND(IFERROR(VALUE(TRIM(SUBSTITUTE(AD50,CHAR(160),""))),0),2),
"KO : Le montant retenu TTC est supérieur au montant présenté TTC. Merci de revoir la ligne de dépense ou plafonner son montant.",
ROUND(IFERROR(VALUE(TRIM(SUBSTITUTE(BJ50,CHAR(160),""))),0),2)&gt;
ROUND(IFERROR(VALUE(TRIM(SUBSTITUTE(AB50,CHAR(160),""))),0),2),
"Attention : Le montant retenu HT est supérieur au montant HT présenté. Merci de revoir la ligne de dépense, plafonner son montant, ou justifier la reventillation HT / TVA.",
ROUND(IFERROR(VALUE(TRIM(SUBSTITUTE(BK50,CHAR(160),""))),0),2)&gt;
ROUND(IFERROR(VALUE(TRIM(SUBSTITUTE(AC50,CHAR(160),""))),0),2),
"Attention : Le montant TVA retenu est supérieur au montant TVA présenté. Merci de revoir la ligne de dépense, plafonner son montant, ou justifier la reventillation HT / TVA.",
ROUND(IFERROR(VALUE(TRIM(SUBSTITUTE(AD50,CHAR(160),""))),0),2)=0,
"",
ROUND(IFERROR(VALUE(TRIM(SUBSTITUTE(BL50,CHAR(160),""))),0),2)=
ROUND(IFERROR(VALUE(TRIM(SUBSTITUTE(AD50,CHAR(160),""))),0),2),
"OK",
ROUND(IFERROR(VALUE(TRIM(SUBSTITUTE(BL50,CHAR(160),""))),0),2)=0,
"Attention : Montant présenté entièrement rejeté.",
ROUND(IFERROR(VALUE(TRIM(SUBSTITUTE(BL50,CHAR(160),""))),0),2)&lt;
ROUND(IFERROR(VALUE(TRIM(SUBSTITUTE(AD50,CHAR(160),""))),0),2),
"Attention : Montant présenté partiellement rejeté.",
TRUE,""
))</f>
        <v/>
      </c>
      <c r="BP50" s="113" t="str">
        <f t="shared" si="44"/>
        <v/>
      </c>
      <c r="BQ50" s="113" t="str">
        <f t="shared" si="45"/>
        <v/>
      </c>
      <c r="BR50" s="33" t="str">
        <f t="shared" si="46"/>
        <v/>
      </c>
    </row>
    <row r="51" spans="1:70" ht="15" customHeight="1">
      <c r="A51" s="193">
        <v>43</v>
      </c>
      <c r="B51" s="7"/>
      <c r="C51" s="7"/>
      <c r="D51" s="19"/>
      <c r="E51" s="7"/>
      <c r="F51" s="7"/>
      <c r="G51" s="7"/>
      <c r="H51" s="7"/>
      <c r="I51" s="28"/>
      <c r="J51" s="7"/>
      <c r="K51" s="29"/>
      <c r="L51" s="678"/>
      <c r="M51" s="7"/>
      <c r="N51" s="672"/>
      <c r="O51" s="11"/>
      <c r="P51" s="107" t="str">
        <f t="shared" si="48"/>
        <v/>
      </c>
      <c r="Q51" s="699"/>
      <c r="R51" s="702"/>
      <c r="S51" s="684"/>
      <c r="T51" s="11"/>
      <c r="U51" s="107" t="str">
        <f t="shared" si="49"/>
        <v/>
      </c>
      <c r="V51" s="695"/>
      <c r="W51" s="685"/>
      <c r="X51" s="707"/>
      <c r="Y51" s="684"/>
      <c r="Z51" s="108" t="str">
        <f t="shared" si="50"/>
        <v/>
      </c>
      <c r="AA51" s="25"/>
      <c r="AB51" s="287" t="str" cm="1">
        <f t="array" ref="AB51">IF((_xlfn.IFS(TRIM(SUBSTITUTE(AA51,CHAR(160),""))="Devis 1",IFERROR(VALUE(TRIM(SUBSTITUTE(N51,CHAR(160),""))),0),TRIM(SUBSTITUTE(AA51,CHAR(160),""))="Devis 2",IFERROR(VALUE(TRIM(SUBSTITUTE(S51,CHAR(160),""))),0),TRIM(SUBSTITUTE(AA51,CHAR(160),""))="Devis 3",IFERROR(VALUE(TRIM(SUBSTITUTE(X51,CHAR(160),""))),0),TRUE,0)*IFERROR(VALUE(TRIM(SUBSTITUTE(D51,CHAR(160),""))),0))=0,"",_xlfn.IFS(TRIM(SUBSTITUTE(AA51,CHAR(160),""))="Devis 1",IFERROR(VALUE(TRIM(SUBSTITUTE(N51,CHAR(160),""))),0),TRIM(SUBSTITUTE(AA51,CHAR(160),""))="Devis 2",IFERROR(VALUE(TRIM(SUBSTITUTE(S51,CHAR(160),""))),0),TRIM(SUBSTITUTE(AA51,CHAR(160),""))="Devis 3",IFERROR(VALUE(TRIM(SUBSTITUTE(X51,CHAR(160),""))),0),TRUE,0)*IFERROR(VALUE(TRIM(SUBSTITUTE(D51,CHAR(160),""))),0))</f>
        <v/>
      </c>
      <c r="AC51" s="275" t="str" cm="1">
        <f t="array" ref="AC51">IF(_xlfn.IFS(TRIM(SUBSTITUTE(AA51,CHAR(160),""))="Devis 1",IFERROR(VALUE(TRIM(SUBSTITUTE(O51,CHAR(160),""))),0),TRIM(SUBSTITUTE(AA51,CHAR(160),""))="Devis 2",IFERROR(VALUE(TRIM(SUBSTITUTE(T51,CHAR(160),""))),0),TRIM(SUBSTITUTE(AA51,CHAR(160),""))="Devis 3",IFERROR(VALUE(TRIM(SUBSTITUTE(Y51,CHAR(160),""))),0),TRUE,0)*IFERROR(VALUE(TRIM(SUBSTITUTE(D51,CHAR(160),""))),0)=0,IF(AB51&lt;&gt;"",0,""),_xlfn.IFS(TRIM(SUBSTITUTE(AA51,CHAR(160),""))="Devis 1",IFERROR(VALUE(TRIM(SUBSTITUTE(O51,CHAR(160),""))),0),TRIM(SUBSTITUTE(AA51,CHAR(160),""))="Devis 2",IFERROR(VALUE(TRIM(SUBSTITUTE(T51,CHAR(160),""))),0),TRIM(SUBSTITUTE(AA51,CHAR(160),""))="Devis 3",IFERROR(VALUE(TRIM(SUBSTITUTE(Y51,CHAR(160),""))),0),TRUE,0)*IFERROR(VALUE(TRIM(SUBSTITUTE(D51,CHAR(160),""))),0))</f>
        <v/>
      </c>
      <c r="AD51" s="285" t="str">
        <f t="shared" si="51"/>
        <v/>
      </c>
      <c r="AE51" s="26"/>
      <c r="AF51" s="109" t="str">
        <f t="shared" si="14"/>
        <v/>
      </c>
      <c r="AG51" s="109" t="str">
        <f t="shared" si="15"/>
        <v/>
      </c>
      <c r="AH51" s="885" t="str">
        <f t="shared" si="16"/>
        <v/>
      </c>
      <c r="AI51" s="109" t="str">
        <f t="shared" si="17"/>
        <v/>
      </c>
      <c r="AJ51" s="109" t="str">
        <f t="shared" si="18"/>
        <v/>
      </c>
      <c r="AK51" s="109" t="str">
        <f t="shared" si="19"/>
        <v/>
      </c>
      <c r="AL51" s="109" t="str">
        <f t="shared" si="20"/>
        <v/>
      </c>
      <c r="AM51" s="109" t="str">
        <f t="shared" si="21"/>
        <v/>
      </c>
      <c r="AN51" s="109" t="str">
        <f t="shared" si="22"/>
        <v/>
      </c>
      <c r="AO51" s="109" t="str">
        <f t="shared" si="23"/>
        <v/>
      </c>
      <c r="AP51" s="754" t="str">
        <f t="shared" si="24"/>
        <v/>
      </c>
      <c r="AQ51" s="755" t="str">
        <f t="shared" si="25"/>
        <v/>
      </c>
      <c r="AR51" s="195" t="str">
        <f t="shared" si="26"/>
        <v/>
      </c>
      <c r="AS51" s="195" t="str">
        <f t="shared" si="27"/>
        <v/>
      </c>
      <c r="AT51" s="664" t="str">
        <f t="shared" si="28"/>
        <v/>
      </c>
      <c r="AU51" s="756" t="str">
        <f t="shared" si="29"/>
        <v/>
      </c>
      <c r="AV51" s="195" t="str">
        <f t="shared" si="30"/>
        <v/>
      </c>
      <c r="AW51" s="195" t="str">
        <f t="shared" si="31"/>
        <v/>
      </c>
      <c r="AX51" s="195" t="str">
        <f t="shared" si="32"/>
        <v/>
      </c>
      <c r="AY51" s="728" t="str">
        <f t="shared" si="33"/>
        <v/>
      </c>
      <c r="AZ51" s="195" t="str">
        <f t="shared" si="34"/>
        <v/>
      </c>
      <c r="BA51" s="195" t="str">
        <f t="shared" si="35"/>
        <v/>
      </c>
      <c r="BB51" s="195" t="str">
        <f t="shared" si="36"/>
        <v/>
      </c>
      <c r="BC51" s="195" t="str">
        <f t="shared" si="37"/>
        <v/>
      </c>
      <c r="BD51" s="112" t="str">
        <f t="shared" si="38"/>
        <v/>
      </c>
      <c r="BE51" s="109" t="str">
        <f t="shared" si="39"/>
        <v/>
      </c>
      <c r="BF51" s="602"/>
      <c r="BG51" s="113" t="str">
        <f t="shared" si="40"/>
        <v/>
      </c>
      <c r="BH51" s="113" t="str">
        <f t="shared" si="41"/>
        <v/>
      </c>
      <c r="BI51" s="113" t="str">
        <f t="shared" si="42"/>
        <v/>
      </c>
      <c r="BJ51" s="281" t="str" cm="1">
        <f t="array" ref="BJ51">IF($AH51="","",
_xlfn.IFS(
$BE51="Devis 1",
IF(ISBLANK(AR51),"",IFERROR(VALUE(TRIM(SUBSTITUTE(AR51,CHAR(160),""))),0)*IFERROR(VALUE(TRIM(SUBSTITUTE($AH51,CHAR(160),""))),0)),
$BE51="Devis 2",
IF(ISBLANK(AW51),"",IFERROR(VALUE(TRIM(SUBSTITUTE(AW51,CHAR(160),""))),0)*IFERROR(VALUE(TRIM(SUBSTITUTE($AH51,CHAR(160),""))),0)),
$BE51="Devis 3",
IF(ISBLANK(BB51),"",IFERROR(VALUE(TRIM(SUBSTITUTE(BB51,CHAR(160),""))),0)*IFERROR(VALUE(TRIM(SUBSTITUTE($AH51,CHAR(160),""))),0)),
TRUE,0
)
)</f>
        <v/>
      </c>
      <c r="BK51" s="281" t="str" cm="1">
        <f t="array" ref="BK51">IF($AH51="","",
_xlfn.IFS(
$BE51="Devis 1",
IF(ISBLANK(AS51),"",IFERROR(VALUE(TRIM(SUBSTITUTE(AS51,CHAR(160),""))),0)*IFERROR(VALUE(TRIM(SUBSTITUTE($AH51,CHAR(160),""))),0)),
$BE51="Devis 2",
IF(ISBLANK(AX51),"",IFERROR(VALUE(TRIM(SUBSTITUTE(AX51,CHAR(160),""))),0)*IFERROR(VALUE(TRIM(SUBSTITUTE($AH51,CHAR(160),""))),0)),
$BE51="Devis 3",
IF(ISBLANK(BC51),"",IFERROR(VALUE(TRIM(SUBSTITUTE(BC51,CHAR(160),""))),0)*IFERROR(VALUE(TRIM(SUBSTITUTE($AH51,CHAR(160),""))),0)),
TRUE,0
)
)</f>
        <v/>
      </c>
      <c r="BL51" s="281" t="str">
        <f t="shared" si="43"/>
        <v/>
      </c>
      <c r="BM51" s="602"/>
      <c r="BN51" s="23" t="str" cm="1">
        <f t="array" ref="BN51">IF(OR(BL51="",BI51="",BJ51="",BG51="",BK51="",BH51=""),"",_xlfn.IFS(
ROUND(IFERROR(VALUE(TRIM(SUBSTITUTE(BL51,CHAR(160),""))),0),2)&gt;
ROUND(IFERROR(VALUE(TRIM(SUBSTITUTE(BI51,CHAR(160),""))),0),2),
"KO : Le montant retenu TTC est supérieur au montant raisonnable TTC. Merci de revoir la ligne de dépense ou plafonner son montant.",
ROUND(IFERROR(VALUE(TRIM(SUBSTITUTE(BJ51,CHAR(160),""))),0),2)&gt;
ROUND(IFERROR(VALUE(TRIM(SUBSTITUTE(BG51,CHAR(160),""))),0),2),
"Attention : Le montant retenu HT est supérieur au montant HT raisonnable. Merci de revoir la ligne de dépense, plafonner son montant, ou justifier la reventillation HT / TVA.",
ROUND(IFERROR(VALUE(TRIM(SUBSTITUTE(BK51,CHAR(160),""))),0),2)&gt;
ROUND(IFERROR(VALUE(TRIM(SUBSTITUTE(BH51,CHAR(160),""))),0),2),
"Attention : Le montant TVA retenu est supérieur au montant TVA raisonnable. Merci de revoir la ligne de dépense, plafonner son montant, ou justifier la reventillation HT / TVA.",
ROUND(IFERROR(VALUE(TRIM(SUBSTITUTE(BL51,CHAR(160),""))),0),2)&gt;
ROUND(IFERROR(VALUE(TRIM(SUBSTITUTE(MIN(P51,U51,Z51),CHAR(160),""))),0),2),
"Attention : Le devis retenu n'est pas le moins cher. Une justification de la part du porteur est nécessaire.",
ROUND(IFERROR(VALUE(TRIM(SUBSTITUTE(BL51,CHAR(160),""))),0),2)=0,
"Attention : montant présenté entièrement écarté",
ROUND(IFERROR(VALUE(TRIM(SUBSTITUTE(BI51,CHAR(160),""))),0),2)=
ROUND(IFERROR(VALUE(TRIM(SUBSTITUTE(BL51,CHAR(160),""))),0),2),
"OK",
ROUND(IFERROR(VALUE(TRIM(SUBSTITUTE(BI51,CHAR(160),""))),0),2)&gt;
ROUND(IFERROR(VALUE(TRIM(SUBSTITUTE(BL51,CHAR(160),""))),0),2),
" OK : Montant instruit inférieur au montant raisonnable.",
TRUE,""
))</f>
        <v/>
      </c>
      <c r="BO51" s="23" t="str" cm="1">
        <f t="array" ref="BO51">IF(OR(BL51="",AD51="",BJ51="",AB51="",BK51="",AC51=""),"",_xlfn.IFS(
ROUND(IFERROR(VALUE(TRIM(SUBSTITUTE(BL51,CHAR(160),""))),0),2)&gt;
ROUND(IFERROR(VALUE(TRIM(SUBSTITUTE(AD51,CHAR(160),""))),0),2),
"KO : Le montant retenu TTC est supérieur au montant présenté TTC. Merci de revoir la ligne de dépense ou plafonner son montant.",
ROUND(IFERROR(VALUE(TRIM(SUBSTITUTE(BJ51,CHAR(160),""))),0),2)&gt;
ROUND(IFERROR(VALUE(TRIM(SUBSTITUTE(AB51,CHAR(160),""))),0),2),
"Attention : Le montant retenu HT est supérieur au montant HT présenté. Merci de revoir la ligne de dépense, plafonner son montant, ou justifier la reventillation HT / TVA.",
ROUND(IFERROR(VALUE(TRIM(SUBSTITUTE(BK51,CHAR(160),""))),0),2)&gt;
ROUND(IFERROR(VALUE(TRIM(SUBSTITUTE(AC51,CHAR(160),""))),0),2),
"Attention : Le montant TVA retenu est supérieur au montant TVA présenté. Merci de revoir la ligne de dépense, plafonner son montant, ou justifier la reventillation HT / TVA.",
ROUND(IFERROR(VALUE(TRIM(SUBSTITUTE(AD51,CHAR(160),""))),0),2)=0,
"",
ROUND(IFERROR(VALUE(TRIM(SUBSTITUTE(BL51,CHAR(160),""))),0),2)=
ROUND(IFERROR(VALUE(TRIM(SUBSTITUTE(AD51,CHAR(160),""))),0),2),
"OK",
ROUND(IFERROR(VALUE(TRIM(SUBSTITUTE(BL51,CHAR(160),""))),0),2)=0,
"Attention : Montant présenté entièrement rejeté.",
ROUND(IFERROR(VALUE(TRIM(SUBSTITUTE(BL51,CHAR(160),""))),0),2)&lt;
ROUND(IFERROR(VALUE(TRIM(SUBSTITUTE(AD51,CHAR(160),""))),0),2),
"Attention : Montant présenté partiellement rejeté.",
TRUE,""
))</f>
        <v/>
      </c>
      <c r="BP51" s="113" t="str">
        <f t="shared" si="44"/>
        <v/>
      </c>
      <c r="BQ51" s="113" t="str">
        <f t="shared" si="45"/>
        <v/>
      </c>
      <c r="BR51" s="33" t="str">
        <f t="shared" si="46"/>
        <v/>
      </c>
    </row>
    <row r="52" spans="1:70" ht="15" customHeight="1">
      <c r="A52" s="193">
        <v>44</v>
      </c>
      <c r="B52" s="7"/>
      <c r="C52" s="7"/>
      <c r="D52" s="19"/>
      <c r="E52" s="7"/>
      <c r="F52" s="7"/>
      <c r="G52" s="7"/>
      <c r="H52" s="7"/>
      <c r="I52" s="28"/>
      <c r="J52" s="7"/>
      <c r="K52" s="29"/>
      <c r="L52" s="678"/>
      <c r="M52" s="7"/>
      <c r="N52" s="672"/>
      <c r="O52" s="11"/>
      <c r="P52" s="107" t="str">
        <f t="shared" si="48"/>
        <v/>
      </c>
      <c r="Q52" s="699"/>
      <c r="R52" s="702"/>
      <c r="S52" s="684"/>
      <c r="T52" s="11"/>
      <c r="U52" s="107" t="str">
        <f t="shared" si="49"/>
        <v/>
      </c>
      <c r="V52" s="695"/>
      <c r="W52" s="685"/>
      <c r="X52" s="707"/>
      <c r="Y52" s="684"/>
      <c r="Z52" s="108" t="str">
        <f t="shared" si="50"/>
        <v/>
      </c>
      <c r="AA52" s="25"/>
      <c r="AB52" s="287" t="str" cm="1">
        <f t="array" ref="AB52">IF((_xlfn.IFS(TRIM(SUBSTITUTE(AA52,CHAR(160),""))="Devis 1",IFERROR(VALUE(TRIM(SUBSTITUTE(N52,CHAR(160),""))),0),TRIM(SUBSTITUTE(AA52,CHAR(160),""))="Devis 2",IFERROR(VALUE(TRIM(SUBSTITUTE(S52,CHAR(160),""))),0),TRIM(SUBSTITUTE(AA52,CHAR(160),""))="Devis 3",IFERROR(VALUE(TRIM(SUBSTITUTE(X52,CHAR(160),""))),0),TRUE,0)*IFERROR(VALUE(TRIM(SUBSTITUTE(D52,CHAR(160),""))),0))=0,"",_xlfn.IFS(TRIM(SUBSTITUTE(AA52,CHAR(160),""))="Devis 1",IFERROR(VALUE(TRIM(SUBSTITUTE(N52,CHAR(160),""))),0),TRIM(SUBSTITUTE(AA52,CHAR(160),""))="Devis 2",IFERROR(VALUE(TRIM(SUBSTITUTE(S52,CHAR(160),""))),0),TRIM(SUBSTITUTE(AA52,CHAR(160),""))="Devis 3",IFERROR(VALUE(TRIM(SUBSTITUTE(X52,CHAR(160),""))),0),TRUE,0)*IFERROR(VALUE(TRIM(SUBSTITUTE(D52,CHAR(160),""))),0))</f>
        <v/>
      </c>
      <c r="AC52" s="275" t="str" cm="1">
        <f t="array" ref="AC52">IF(_xlfn.IFS(TRIM(SUBSTITUTE(AA52,CHAR(160),""))="Devis 1",IFERROR(VALUE(TRIM(SUBSTITUTE(O52,CHAR(160),""))),0),TRIM(SUBSTITUTE(AA52,CHAR(160),""))="Devis 2",IFERROR(VALUE(TRIM(SUBSTITUTE(T52,CHAR(160),""))),0),TRIM(SUBSTITUTE(AA52,CHAR(160),""))="Devis 3",IFERROR(VALUE(TRIM(SUBSTITUTE(Y52,CHAR(160),""))),0),TRUE,0)*IFERROR(VALUE(TRIM(SUBSTITUTE(D52,CHAR(160),""))),0)=0,IF(AB52&lt;&gt;"",0,""),_xlfn.IFS(TRIM(SUBSTITUTE(AA52,CHAR(160),""))="Devis 1",IFERROR(VALUE(TRIM(SUBSTITUTE(O52,CHAR(160),""))),0),TRIM(SUBSTITUTE(AA52,CHAR(160),""))="Devis 2",IFERROR(VALUE(TRIM(SUBSTITUTE(T52,CHAR(160),""))),0),TRIM(SUBSTITUTE(AA52,CHAR(160),""))="Devis 3",IFERROR(VALUE(TRIM(SUBSTITUTE(Y52,CHAR(160),""))),0),TRUE,0)*IFERROR(VALUE(TRIM(SUBSTITUTE(D52,CHAR(160),""))),0))</f>
        <v/>
      </c>
      <c r="AD52" s="285" t="str">
        <f t="shared" si="51"/>
        <v/>
      </c>
      <c r="AE52" s="26"/>
      <c r="AF52" s="109" t="str">
        <f t="shared" si="14"/>
        <v/>
      </c>
      <c r="AG52" s="109" t="str">
        <f t="shared" si="15"/>
        <v/>
      </c>
      <c r="AH52" s="885" t="str">
        <f t="shared" si="16"/>
        <v/>
      </c>
      <c r="AI52" s="109" t="str">
        <f t="shared" si="17"/>
        <v/>
      </c>
      <c r="AJ52" s="109" t="str">
        <f t="shared" si="18"/>
        <v/>
      </c>
      <c r="AK52" s="109" t="str">
        <f t="shared" si="19"/>
        <v/>
      </c>
      <c r="AL52" s="109" t="str">
        <f t="shared" si="20"/>
        <v/>
      </c>
      <c r="AM52" s="109" t="str">
        <f t="shared" si="21"/>
        <v/>
      </c>
      <c r="AN52" s="109" t="str">
        <f t="shared" si="22"/>
        <v/>
      </c>
      <c r="AO52" s="109" t="str">
        <f t="shared" si="23"/>
        <v/>
      </c>
      <c r="AP52" s="754" t="str">
        <f t="shared" si="24"/>
        <v/>
      </c>
      <c r="AQ52" s="755" t="str">
        <f t="shared" si="25"/>
        <v/>
      </c>
      <c r="AR52" s="195" t="str">
        <f t="shared" si="26"/>
        <v/>
      </c>
      <c r="AS52" s="195" t="str">
        <f t="shared" si="27"/>
        <v/>
      </c>
      <c r="AT52" s="664" t="str">
        <f t="shared" si="28"/>
        <v/>
      </c>
      <c r="AU52" s="756" t="str">
        <f t="shared" si="29"/>
        <v/>
      </c>
      <c r="AV52" s="195" t="str">
        <f t="shared" si="30"/>
        <v/>
      </c>
      <c r="AW52" s="195" t="str">
        <f t="shared" si="31"/>
        <v/>
      </c>
      <c r="AX52" s="195" t="str">
        <f t="shared" si="32"/>
        <v/>
      </c>
      <c r="AY52" s="728" t="str">
        <f t="shared" si="33"/>
        <v/>
      </c>
      <c r="AZ52" s="195" t="str">
        <f t="shared" si="34"/>
        <v/>
      </c>
      <c r="BA52" s="195" t="str">
        <f t="shared" si="35"/>
        <v/>
      </c>
      <c r="BB52" s="195" t="str">
        <f t="shared" si="36"/>
        <v/>
      </c>
      <c r="BC52" s="195" t="str">
        <f t="shared" si="37"/>
        <v/>
      </c>
      <c r="BD52" s="112" t="str">
        <f t="shared" si="38"/>
        <v/>
      </c>
      <c r="BE52" s="109" t="str">
        <f t="shared" si="39"/>
        <v/>
      </c>
      <c r="BF52" s="602"/>
      <c r="BG52" s="113" t="str">
        <f t="shared" si="40"/>
        <v/>
      </c>
      <c r="BH52" s="113" t="str">
        <f t="shared" si="41"/>
        <v/>
      </c>
      <c r="BI52" s="113" t="str">
        <f t="shared" si="42"/>
        <v/>
      </c>
      <c r="BJ52" s="281" t="str" cm="1">
        <f t="array" ref="BJ52">IF($AH52="","",
_xlfn.IFS(
$BE52="Devis 1",
IF(ISBLANK(AR52),"",IFERROR(VALUE(TRIM(SUBSTITUTE(AR52,CHAR(160),""))),0)*IFERROR(VALUE(TRIM(SUBSTITUTE($AH52,CHAR(160),""))),0)),
$BE52="Devis 2",
IF(ISBLANK(AW52),"",IFERROR(VALUE(TRIM(SUBSTITUTE(AW52,CHAR(160),""))),0)*IFERROR(VALUE(TRIM(SUBSTITUTE($AH52,CHAR(160),""))),0)),
$BE52="Devis 3",
IF(ISBLANK(BB52),"",IFERROR(VALUE(TRIM(SUBSTITUTE(BB52,CHAR(160),""))),0)*IFERROR(VALUE(TRIM(SUBSTITUTE($AH52,CHAR(160),""))),0)),
TRUE,0
)
)</f>
        <v/>
      </c>
      <c r="BK52" s="281" t="str" cm="1">
        <f t="array" ref="BK52">IF($AH52="","",
_xlfn.IFS(
$BE52="Devis 1",
IF(ISBLANK(AS52),"",IFERROR(VALUE(TRIM(SUBSTITUTE(AS52,CHAR(160),""))),0)*IFERROR(VALUE(TRIM(SUBSTITUTE($AH52,CHAR(160),""))),0)),
$BE52="Devis 2",
IF(ISBLANK(AX52),"",IFERROR(VALUE(TRIM(SUBSTITUTE(AX52,CHAR(160),""))),0)*IFERROR(VALUE(TRIM(SUBSTITUTE($AH52,CHAR(160),""))),0)),
$BE52="Devis 3",
IF(ISBLANK(BC52),"",IFERROR(VALUE(TRIM(SUBSTITUTE(BC52,CHAR(160),""))),0)*IFERROR(VALUE(TRIM(SUBSTITUTE($AH52,CHAR(160),""))),0)),
TRUE,0
)
)</f>
        <v/>
      </c>
      <c r="BL52" s="281" t="str">
        <f t="shared" si="43"/>
        <v/>
      </c>
      <c r="BM52" s="602"/>
      <c r="BN52" s="23" t="str" cm="1">
        <f t="array" ref="BN52">IF(OR(BL52="",BI52="",BJ52="",BG52="",BK52="",BH52=""),"",_xlfn.IFS(
ROUND(IFERROR(VALUE(TRIM(SUBSTITUTE(BL52,CHAR(160),""))),0),2)&gt;
ROUND(IFERROR(VALUE(TRIM(SUBSTITUTE(BI52,CHAR(160),""))),0),2),
"KO : Le montant retenu TTC est supérieur au montant raisonnable TTC. Merci de revoir la ligne de dépense ou plafonner son montant.",
ROUND(IFERROR(VALUE(TRIM(SUBSTITUTE(BJ52,CHAR(160),""))),0),2)&gt;
ROUND(IFERROR(VALUE(TRIM(SUBSTITUTE(BG52,CHAR(160),""))),0),2),
"Attention : Le montant retenu HT est supérieur au montant HT raisonnable. Merci de revoir la ligne de dépense, plafonner son montant, ou justifier la reventillation HT / TVA.",
ROUND(IFERROR(VALUE(TRIM(SUBSTITUTE(BK52,CHAR(160),""))),0),2)&gt;
ROUND(IFERROR(VALUE(TRIM(SUBSTITUTE(BH52,CHAR(160),""))),0),2),
"Attention : Le montant TVA retenu est supérieur au montant TVA raisonnable. Merci de revoir la ligne de dépense, plafonner son montant, ou justifier la reventillation HT / TVA.",
ROUND(IFERROR(VALUE(TRIM(SUBSTITUTE(BL52,CHAR(160),""))),0),2)&gt;
ROUND(IFERROR(VALUE(TRIM(SUBSTITUTE(MIN(P52,U52,Z52),CHAR(160),""))),0),2),
"Attention : Le devis retenu n'est pas le moins cher. Une justification de la part du porteur est nécessaire.",
ROUND(IFERROR(VALUE(TRIM(SUBSTITUTE(BL52,CHAR(160),""))),0),2)=0,
"Attention : montant présenté entièrement écarté",
ROUND(IFERROR(VALUE(TRIM(SUBSTITUTE(BI52,CHAR(160),""))),0),2)=
ROUND(IFERROR(VALUE(TRIM(SUBSTITUTE(BL52,CHAR(160),""))),0),2),
"OK",
ROUND(IFERROR(VALUE(TRIM(SUBSTITUTE(BI52,CHAR(160),""))),0),2)&gt;
ROUND(IFERROR(VALUE(TRIM(SUBSTITUTE(BL52,CHAR(160),""))),0),2),
" OK : Montant instruit inférieur au montant raisonnable.",
TRUE,""
))</f>
        <v/>
      </c>
      <c r="BO52" s="23" t="str" cm="1">
        <f t="array" ref="BO52">IF(OR(BL52="",AD52="",BJ52="",AB52="",BK52="",AC52=""),"",_xlfn.IFS(
ROUND(IFERROR(VALUE(TRIM(SUBSTITUTE(BL52,CHAR(160),""))),0),2)&gt;
ROUND(IFERROR(VALUE(TRIM(SUBSTITUTE(AD52,CHAR(160),""))),0),2),
"KO : Le montant retenu TTC est supérieur au montant présenté TTC. Merci de revoir la ligne de dépense ou plafonner son montant.",
ROUND(IFERROR(VALUE(TRIM(SUBSTITUTE(BJ52,CHAR(160),""))),0),2)&gt;
ROUND(IFERROR(VALUE(TRIM(SUBSTITUTE(AB52,CHAR(160),""))),0),2),
"Attention : Le montant retenu HT est supérieur au montant HT présenté. Merci de revoir la ligne de dépense, plafonner son montant, ou justifier la reventillation HT / TVA.",
ROUND(IFERROR(VALUE(TRIM(SUBSTITUTE(BK52,CHAR(160),""))),0),2)&gt;
ROUND(IFERROR(VALUE(TRIM(SUBSTITUTE(AC52,CHAR(160),""))),0),2),
"Attention : Le montant TVA retenu est supérieur au montant TVA présenté. Merci de revoir la ligne de dépense, plafonner son montant, ou justifier la reventillation HT / TVA.",
ROUND(IFERROR(VALUE(TRIM(SUBSTITUTE(AD52,CHAR(160),""))),0),2)=0,
"",
ROUND(IFERROR(VALUE(TRIM(SUBSTITUTE(BL52,CHAR(160),""))),0),2)=
ROUND(IFERROR(VALUE(TRIM(SUBSTITUTE(AD52,CHAR(160),""))),0),2),
"OK",
ROUND(IFERROR(VALUE(TRIM(SUBSTITUTE(BL52,CHAR(160),""))),0),2)=0,
"Attention : Montant présenté entièrement rejeté.",
ROUND(IFERROR(VALUE(TRIM(SUBSTITUTE(BL52,CHAR(160),""))),0),2)&lt;
ROUND(IFERROR(VALUE(TRIM(SUBSTITUTE(AD52,CHAR(160),""))),0),2),
"Attention : Montant présenté partiellement rejeté.",
TRUE,""
))</f>
        <v/>
      </c>
      <c r="BP52" s="113" t="str">
        <f t="shared" si="44"/>
        <v/>
      </c>
      <c r="BQ52" s="113" t="str">
        <f t="shared" si="45"/>
        <v/>
      </c>
      <c r="BR52" s="33" t="str">
        <f t="shared" si="46"/>
        <v/>
      </c>
    </row>
    <row r="53" spans="1:70" ht="15" customHeight="1">
      <c r="A53" s="193">
        <v>45</v>
      </c>
      <c r="B53" s="7"/>
      <c r="C53" s="7"/>
      <c r="D53" s="19"/>
      <c r="E53" s="7"/>
      <c r="F53" s="7"/>
      <c r="G53" s="7"/>
      <c r="H53" s="7"/>
      <c r="I53" s="28"/>
      <c r="J53" s="7"/>
      <c r="K53" s="29"/>
      <c r="L53" s="678"/>
      <c r="M53" s="7"/>
      <c r="N53" s="672"/>
      <c r="O53" s="11"/>
      <c r="P53" s="107" t="str">
        <f t="shared" si="48"/>
        <v/>
      </c>
      <c r="Q53" s="699"/>
      <c r="R53" s="702"/>
      <c r="S53" s="684"/>
      <c r="T53" s="11"/>
      <c r="U53" s="107" t="str">
        <f t="shared" si="49"/>
        <v/>
      </c>
      <c r="V53" s="695"/>
      <c r="W53" s="685"/>
      <c r="X53" s="707"/>
      <c r="Y53" s="684"/>
      <c r="Z53" s="108" t="str">
        <f t="shared" si="50"/>
        <v/>
      </c>
      <c r="AA53" s="25"/>
      <c r="AB53" s="287" t="str" cm="1">
        <f t="array" ref="AB53">IF((_xlfn.IFS(TRIM(SUBSTITUTE(AA53,CHAR(160),""))="Devis 1",IFERROR(VALUE(TRIM(SUBSTITUTE(N53,CHAR(160),""))),0),TRIM(SUBSTITUTE(AA53,CHAR(160),""))="Devis 2",IFERROR(VALUE(TRIM(SUBSTITUTE(S53,CHAR(160),""))),0),TRIM(SUBSTITUTE(AA53,CHAR(160),""))="Devis 3",IFERROR(VALUE(TRIM(SUBSTITUTE(X53,CHAR(160),""))),0),TRUE,0)*IFERROR(VALUE(TRIM(SUBSTITUTE(D53,CHAR(160),""))),0))=0,"",_xlfn.IFS(TRIM(SUBSTITUTE(AA53,CHAR(160),""))="Devis 1",IFERROR(VALUE(TRIM(SUBSTITUTE(N53,CHAR(160),""))),0),TRIM(SUBSTITUTE(AA53,CHAR(160),""))="Devis 2",IFERROR(VALUE(TRIM(SUBSTITUTE(S53,CHAR(160),""))),0),TRIM(SUBSTITUTE(AA53,CHAR(160),""))="Devis 3",IFERROR(VALUE(TRIM(SUBSTITUTE(X53,CHAR(160),""))),0),TRUE,0)*IFERROR(VALUE(TRIM(SUBSTITUTE(D53,CHAR(160),""))),0))</f>
        <v/>
      </c>
      <c r="AC53" s="275" t="str" cm="1">
        <f t="array" ref="AC53">IF(_xlfn.IFS(TRIM(SUBSTITUTE(AA53,CHAR(160),""))="Devis 1",IFERROR(VALUE(TRIM(SUBSTITUTE(O53,CHAR(160),""))),0),TRIM(SUBSTITUTE(AA53,CHAR(160),""))="Devis 2",IFERROR(VALUE(TRIM(SUBSTITUTE(T53,CHAR(160),""))),0),TRIM(SUBSTITUTE(AA53,CHAR(160),""))="Devis 3",IFERROR(VALUE(TRIM(SUBSTITUTE(Y53,CHAR(160),""))),0),TRUE,0)*IFERROR(VALUE(TRIM(SUBSTITUTE(D53,CHAR(160),""))),0)=0,IF(AB53&lt;&gt;"",0,""),_xlfn.IFS(TRIM(SUBSTITUTE(AA53,CHAR(160),""))="Devis 1",IFERROR(VALUE(TRIM(SUBSTITUTE(O53,CHAR(160),""))),0),TRIM(SUBSTITUTE(AA53,CHAR(160),""))="Devis 2",IFERROR(VALUE(TRIM(SUBSTITUTE(T53,CHAR(160),""))),0),TRIM(SUBSTITUTE(AA53,CHAR(160),""))="Devis 3",IFERROR(VALUE(TRIM(SUBSTITUTE(Y53,CHAR(160),""))),0),TRUE,0)*IFERROR(VALUE(TRIM(SUBSTITUTE(D53,CHAR(160),""))),0))</f>
        <v/>
      </c>
      <c r="AD53" s="285" t="str">
        <f t="shared" si="51"/>
        <v/>
      </c>
      <c r="AE53" s="26"/>
      <c r="AF53" s="109" t="str">
        <f t="shared" si="14"/>
        <v/>
      </c>
      <c r="AG53" s="109" t="str">
        <f t="shared" si="15"/>
        <v/>
      </c>
      <c r="AH53" s="885" t="str">
        <f t="shared" si="16"/>
        <v/>
      </c>
      <c r="AI53" s="109" t="str">
        <f t="shared" si="17"/>
        <v/>
      </c>
      <c r="AJ53" s="109" t="str">
        <f t="shared" si="18"/>
        <v/>
      </c>
      <c r="AK53" s="109" t="str">
        <f t="shared" si="19"/>
        <v/>
      </c>
      <c r="AL53" s="109" t="str">
        <f t="shared" si="20"/>
        <v/>
      </c>
      <c r="AM53" s="109" t="str">
        <f t="shared" si="21"/>
        <v/>
      </c>
      <c r="AN53" s="109" t="str">
        <f t="shared" si="22"/>
        <v/>
      </c>
      <c r="AO53" s="109" t="str">
        <f t="shared" si="23"/>
        <v/>
      </c>
      <c r="AP53" s="754" t="str">
        <f t="shared" si="24"/>
        <v/>
      </c>
      <c r="AQ53" s="755" t="str">
        <f t="shared" si="25"/>
        <v/>
      </c>
      <c r="AR53" s="195" t="str">
        <f t="shared" si="26"/>
        <v/>
      </c>
      <c r="AS53" s="195" t="str">
        <f t="shared" si="27"/>
        <v/>
      </c>
      <c r="AT53" s="664" t="str">
        <f t="shared" si="28"/>
        <v/>
      </c>
      <c r="AU53" s="756" t="str">
        <f t="shared" si="29"/>
        <v/>
      </c>
      <c r="AV53" s="195" t="str">
        <f t="shared" si="30"/>
        <v/>
      </c>
      <c r="AW53" s="195" t="str">
        <f t="shared" si="31"/>
        <v/>
      </c>
      <c r="AX53" s="195" t="str">
        <f t="shared" si="32"/>
        <v/>
      </c>
      <c r="AY53" s="728" t="str">
        <f t="shared" si="33"/>
        <v/>
      </c>
      <c r="AZ53" s="195" t="str">
        <f t="shared" si="34"/>
        <v/>
      </c>
      <c r="BA53" s="195" t="str">
        <f t="shared" si="35"/>
        <v/>
      </c>
      <c r="BB53" s="195" t="str">
        <f t="shared" si="36"/>
        <v/>
      </c>
      <c r="BC53" s="195" t="str">
        <f t="shared" si="37"/>
        <v/>
      </c>
      <c r="BD53" s="112" t="str">
        <f t="shared" si="38"/>
        <v/>
      </c>
      <c r="BE53" s="109" t="str">
        <f t="shared" si="39"/>
        <v/>
      </c>
      <c r="BF53" s="602"/>
      <c r="BG53" s="113" t="str">
        <f t="shared" si="40"/>
        <v/>
      </c>
      <c r="BH53" s="113" t="str">
        <f t="shared" si="41"/>
        <v/>
      </c>
      <c r="BI53" s="113" t="str">
        <f t="shared" si="42"/>
        <v/>
      </c>
      <c r="BJ53" s="281" t="str" cm="1">
        <f t="array" ref="BJ53">IF($AH53="","",
_xlfn.IFS(
$BE53="Devis 1",
IF(ISBLANK(AR53),"",IFERROR(VALUE(TRIM(SUBSTITUTE(AR53,CHAR(160),""))),0)*IFERROR(VALUE(TRIM(SUBSTITUTE($AH53,CHAR(160),""))),0)),
$BE53="Devis 2",
IF(ISBLANK(AW53),"",IFERROR(VALUE(TRIM(SUBSTITUTE(AW53,CHAR(160),""))),0)*IFERROR(VALUE(TRIM(SUBSTITUTE($AH53,CHAR(160),""))),0)),
$BE53="Devis 3",
IF(ISBLANK(BB53),"",IFERROR(VALUE(TRIM(SUBSTITUTE(BB53,CHAR(160),""))),0)*IFERROR(VALUE(TRIM(SUBSTITUTE($AH53,CHAR(160),""))),0)),
TRUE,0
)
)</f>
        <v/>
      </c>
      <c r="BK53" s="281" t="str" cm="1">
        <f t="array" ref="BK53">IF($AH53="","",
_xlfn.IFS(
$BE53="Devis 1",
IF(ISBLANK(AS53),"",IFERROR(VALUE(TRIM(SUBSTITUTE(AS53,CHAR(160),""))),0)*IFERROR(VALUE(TRIM(SUBSTITUTE($AH53,CHAR(160),""))),0)),
$BE53="Devis 2",
IF(ISBLANK(AX53),"",IFERROR(VALUE(TRIM(SUBSTITUTE(AX53,CHAR(160),""))),0)*IFERROR(VALUE(TRIM(SUBSTITUTE($AH53,CHAR(160),""))),0)),
$BE53="Devis 3",
IF(ISBLANK(BC53),"",IFERROR(VALUE(TRIM(SUBSTITUTE(BC53,CHAR(160),""))),0)*IFERROR(VALUE(TRIM(SUBSTITUTE($AH53,CHAR(160),""))),0)),
TRUE,0
)
)</f>
        <v/>
      </c>
      <c r="BL53" s="281" t="str">
        <f t="shared" si="43"/>
        <v/>
      </c>
      <c r="BM53" s="602"/>
      <c r="BN53" s="23" t="str" cm="1">
        <f t="array" ref="BN53">IF(OR(BL53="",BI53="",BJ53="",BG53="",BK53="",BH53=""),"",_xlfn.IFS(
ROUND(IFERROR(VALUE(TRIM(SUBSTITUTE(BL53,CHAR(160),""))),0),2)&gt;
ROUND(IFERROR(VALUE(TRIM(SUBSTITUTE(BI53,CHAR(160),""))),0),2),
"KO : Le montant retenu TTC est supérieur au montant raisonnable TTC. Merci de revoir la ligne de dépense ou plafonner son montant.",
ROUND(IFERROR(VALUE(TRIM(SUBSTITUTE(BJ53,CHAR(160),""))),0),2)&gt;
ROUND(IFERROR(VALUE(TRIM(SUBSTITUTE(BG53,CHAR(160),""))),0),2),
"Attention : Le montant retenu HT est supérieur au montant HT raisonnable. Merci de revoir la ligne de dépense, plafonner son montant, ou justifier la reventillation HT / TVA.",
ROUND(IFERROR(VALUE(TRIM(SUBSTITUTE(BK53,CHAR(160),""))),0),2)&gt;
ROUND(IFERROR(VALUE(TRIM(SUBSTITUTE(BH53,CHAR(160),""))),0),2),
"Attention : Le montant TVA retenu est supérieur au montant TVA raisonnable. Merci de revoir la ligne de dépense, plafonner son montant, ou justifier la reventillation HT / TVA.",
ROUND(IFERROR(VALUE(TRIM(SUBSTITUTE(BL53,CHAR(160),""))),0),2)&gt;
ROUND(IFERROR(VALUE(TRIM(SUBSTITUTE(MIN(P53,U53,Z53),CHAR(160),""))),0),2),
"Attention : Le devis retenu n'est pas le moins cher. Une justification de la part du porteur est nécessaire.",
ROUND(IFERROR(VALUE(TRIM(SUBSTITUTE(BL53,CHAR(160),""))),0),2)=0,
"Attention : montant présenté entièrement écarté",
ROUND(IFERROR(VALUE(TRIM(SUBSTITUTE(BI53,CHAR(160),""))),0),2)=
ROUND(IFERROR(VALUE(TRIM(SUBSTITUTE(BL53,CHAR(160),""))),0),2),
"OK",
ROUND(IFERROR(VALUE(TRIM(SUBSTITUTE(BI53,CHAR(160),""))),0),2)&gt;
ROUND(IFERROR(VALUE(TRIM(SUBSTITUTE(BL53,CHAR(160),""))),0),2),
" OK : Montant instruit inférieur au montant raisonnable.",
TRUE,""
))</f>
        <v/>
      </c>
      <c r="BO53" s="23" t="str" cm="1">
        <f t="array" ref="BO53">IF(OR(BL53="",AD53="",BJ53="",AB53="",BK53="",AC53=""),"",_xlfn.IFS(
ROUND(IFERROR(VALUE(TRIM(SUBSTITUTE(BL53,CHAR(160),""))),0),2)&gt;
ROUND(IFERROR(VALUE(TRIM(SUBSTITUTE(AD53,CHAR(160),""))),0),2),
"KO : Le montant retenu TTC est supérieur au montant présenté TTC. Merci de revoir la ligne de dépense ou plafonner son montant.",
ROUND(IFERROR(VALUE(TRIM(SUBSTITUTE(BJ53,CHAR(160),""))),0),2)&gt;
ROUND(IFERROR(VALUE(TRIM(SUBSTITUTE(AB53,CHAR(160),""))),0),2),
"Attention : Le montant retenu HT est supérieur au montant HT présenté. Merci de revoir la ligne de dépense, plafonner son montant, ou justifier la reventillation HT / TVA.",
ROUND(IFERROR(VALUE(TRIM(SUBSTITUTE(BK53,CHAR(160),""))),0),2)&gt;
ROUND(IFERROR(VALUE(TRIM(SUBSTITUTE(AC53,CHAR(160),""))),0),2),
"Attention : Le montant TVA retenu est supérieur au montant TVA présenté. Merci de revoir la ligne de dépense, plafonner son montant, ou justifier la reventillation HT / TVA.",
ROUND(IFERROR(VALUE(TRIM(SUBSTITUTE(AD53,CHAR(160),""))),0),2)=0,
"",
ROUND(IFERROR(VALUE(TRIM(SUBSTITUTE(BL53,CHAR(160),""))),0),2)=
ROUND(IFERROR(VALUE(TRIM(SUBSTITUTE(AD53,CHAR(160),""))),0),2),
"OK",
ROUND(IFERROR(VALUE(TRIM(SUBSTITUTE(BL53,CHAR(160),""))),0),2)=0,
"Attention : Montant présenté entièrement rejeté.",
ROUND(IFERROR(VALUE(TRIM(SUBSTITUTE(BL53,CHAR(160),""))),0),2)&lt;
ROUND(IFERROR(VALUE(TRIM(SUBSTITUTE(AD53,CHAR(160),""))),0),2),
"Attention : Montant présenté partiellement rejeté.",
TRUE,""
))</f>
        <v/>
      </c>
      <c r="BP53" s="113" t="str">
        <f t="shared" si="44"/>
        <v/>
      </c>
      <c r="BQ53" s="113" t="str">
        <f t="shared" si="45"/>
        <v/>
      </c>
      <c r="BR53" s="33" t="str">
        <f t="shared" si="46"/>
        <v/>
      </c>
    </row>
    <row r="54" spans="1:70" ht="15" customHeight="1">
      <c r="A54" s="193">
        <v>46</v>
      </c>
      <c r="B54" s="7"/>
      <c r="C54" s="7"/>
      <c r="D54" s="19"/>
      <c r="E54" s="7"/>
      <c r="F54" s="7"/>
      <c r="G54" s="7"/>
      <c r="H54" s="7"/>
      <c r="I54" s="28"/>
      <c r="J54" s="7"/>
      <c r="K54" s="29"/>
      <c r="L54" s="678"/>
      <c r="M54" s="7"/>
      <c r="N54" s="672"/>
      <c r="O54" s="11"/>
      <c r="P54" s="107" t="str">
        <f t="shared" si="48"/>
        <v/>
      </c>
      <c r="Q54" s="699"/>
      <c r="R54" s="702"/>
      <c r="S54" s="684"/>
      <c r="T54" s="11"/>
      <c r="U54" s="107" t="str">
        <f t="shared" si="49"/>
        <v/>
      </c>
      <c r="V54" s="695"/>
      <c r="W54" s="685"/>
      <c r="X54" s="707"/>
      <c r="Y54" s="684"/>
      <c r="Z54" s="108" t="str">
        <f t="shared" si="50"/>
        <v/>
      </c>
      <c r="AA54" s="25"/>
      <c r="AB54" s="287" t="str" cm="1">
        <f t="array" ref="AB54">IF((_xlfn.IFS(TRIM(SUBSTITUTE(AA54,CHAR(160),""))="Devis 1",IFERROR(VALUE(TRIM(SUBSTITUTE(N54,CHAR(160),""))),0),TRIM(SUBSTITUTE(AA54,CHAR(160),""))="Devis 2",IFERROR(VALUE(TRIM(SUBSTITUTE(S54,CHAR(160),""))),0),TRIM(SUBSTITUTE(AA54,CHAR(160),""))="Devis 3",IFERROR(VALUE(TRIM(SUBSTITUTE(X54,CHAR(160),""))),0),TRUE,0)*IFERROR(VALUE(TRIM(SUBSTITUTE(D54,CHAR(160),""))),0))=0,"",_xlfn.IFS(TRIM(SUBSTITUTE(AA54,CHAR(160),""))="Devis 1",IFERROR(VALUE(TRIM(SUBSTITUTE(N54,CHAR(160),""))),0),TRIM(SUBSTITUTE(AA54,CHAR(160),""))="Devis 2",IFERROR(VALUE(TRIM(SUBSTITUTE(S54,CHAR(160),""))),0),TRIM(SUBSTITUTE(AA54,CHAR(160),""))="Devis 3",IFERROR(VALUE(TRIM(SUBSTITUTE(X54,CHAR(160),""))),0),TRUE,0)*IFERROR(VALUE(TRIM(SUBSTITUTE(D54,CHAR(160),""))),0))</f>
        <v/>
      </c>
      <c r="AC54" s="275" t="str" cm="1">
        <f t="array" ref="AC54">IF(_xlfn.IFS(TRIM(SUBSTITUTE(AA54,CHAR(160),""))="Devis 1",IFERROR(VALUE(TRIM(SUBSTITUTE(O54,CHAR(160),""))),0),TRIM(SUBSTITUTE(AA54,CHAR(160),""))="Devis 2",IFERROR(VALUE(TRIM(SUBSTITUTE(T54,CHAR(160),""))),0),TRIM(SUBSTITUTE(AA54,CHAR(160),""))="Devis 3",IFERROR(VALUE(TRIM(SUBSTITUTE(Y54,CHAR(160),""))),0),TRUE,0)*IFERROR(VALUE(TRIM(SUBSTITUTE(D54,CHAR(160),""))),0)=0,IF(AB54&lt;&gt;"",0,""),_xlfn.IFS(TRIM(SUBSTITUTE(AA54,CHAR(160),""))="Devis 1",IFERROR(VALUE(TRIM(SUBSTITUTE(O54,CHAR(160),""))),0),TRIM(SUBSTITUTE(AA54,CHAR(160),""))="Devis 2",IFERROR(VALUE(TRIM(SUBSTITUTE(T54,CHAR(160),""))),0),TRIM(SUBSTITUTE(AA54,CHAR(160),""))="Devis 3",IFERROR(VALUE(TRIM(SUBSTITUTE(Y54,CHAR(160),""))),0),TRUE,0)*IFERROR(VALUE(TRIM(SUBSTITUTE(D54,CHAR(160),""))),0))</f>
        <v/>
      </c>
      <c r="AD54" s="285" t="str">
        <f t="shared" si="51"/>
        <v/>
      </c>
      <c r="AE54" s="26"/>
      <c r="AF54" s="109" t="str">
        <f t="shared" si="14"/>
        <v/>
      </c>
      <c r="AG54" s="109" t="str">
        <f t="shared" si="15"/>
        <v/>
      </c>
      <c r="AH54" s="885" t="str">
        <f t="shared" si="16"/>
        <v/>
      </c>
      <c r="AI54" s="109" t="str">
        <f t="shared" si="17"/>
        <v/>
      </c>
      <c r="AJ54" s="109" t="str">
        <f t="shared" si="18"/>
        <v/>
      </c>
      <c r="AK54" s="109" t="str">
        <f t="shared" si="19"/>
        <v/>
      </c>
      <c r="AL54" s="109" t="str">
        <f t="shared" si="20"/>
        <v/>
      </c>
      <c r="AM54" s="109" t="str">
        <f t="shared" si="21"/>
        <v/>
      </c>
      <c r="AN54" s="109" t="str">
        <f t="shared" si="22"/>
        <v/>
      </c>
      <c r="AO54" s="109" t="str">
        <f t="shared" si="23"/>
        <v/>
      </c>
      <c r="AP54" s="754" t="str">
        <f t="shared" si="24"/>
        <v/>
      </c>
      <c r="AQ54" s="755" t="str">
        <f t="shared" si="25"/>
        <v/>
      </c>
      <c r="AR54" s="195" t="str">
        <f t="shared" si="26"/>
        <v/>
      </c>
      <c r="AS54" s="195" t="str">
        <f t="shared" si="27"/>
        <v/>
      </c>
      <c r="AT54" s="664" t="str">
        <f t="shared" si="28"/>
        <v/>
      </c>
      <c r="AU54" s="756" t="str">
        <f t="shared" si="29"/>
        <v/>
      </c>
      <c r="AV54" s="195" t="str">
        <f t="shared" si="30"/>
        <v/>
      </c>
      <c r="AW54" s="195" t="str">
        <f t="shared" si="31"/>
        <v/>
      </c>
      <c r="AX54" s="195" t="str">
        <f t="shared" si="32"/>
        <v/>
      </c>
      <c r="AY54" s="728" t="str">
        <f t="shared" si="33"/>
        <v/>
      </c>
      <c r="AZ54" s="195" t="str">
        <f t="shared" si="34"/>
        <v/>
      </c>
      <c r="BA54" s="195" t="str">
        <f t="shared" si="35"/>
        <v/>
      </c>
      <c r="BB54" s="195" t="str">
        <f t="shared" si="36"/>
        <v/>
      </c>
      <c r="BC54" s="195" t="str">
        <f t="shared" si="37"/>
        <v/>
      </c>
      <c r="BD54" s="112" t="str">
        <f t="shared" si="38"/>
        <v/>
      </c>
      <c r="BE54" s="109" t="str">
        <f t="shared" si="39"/>
        <v/>
      </c>
      <c r="BF54" s="602"/>
      <c r="BG54" s="113" t="str">
        <f t="shared" si="40"/>
        <v/>
      </c>
      <c r="BH54" s="113" t="str">
        <f t="shared" si="41"/>
        <v/>
      </c>
      <c r="BI54" s="113" t="str">
        <f t="shared" si="42"/>
        <v/>
      </c>
      <c r="BJ54" s="281" t="str" cm="1">
        <f t="array" ref="BJ54">IF($AH54="","",
_xlfn.IFS(
$BE54="Devis 1",
IF(ISBLANK(AR54),"",IFERROR(VALUE(TRIM(SUBSTITUTE(AR54,CHAR(160),""))),0)*IFERROR(VALUE(TRIM(SUBSTITUTE($AH54,CHAR(160),""))),0)),
$BE54="Devis 2",
IF(ISBLANK(AW54),"",IFERROR(VALUE(TRIM(SUBSTITUTE(AW54,CHAR(160),""))),0)*IFERROR(VALUE(TRIM(SUBSTITUTE($AH54,CHAR(160),""))),0)),
$BE54="Devis 3",
IF(ISBLANK(BB54),"",IFERROR(VALUE(TRIM(SUBSTITUTE(BB54,CHAR(160),""))),0)*IFERROR(VALUE(TRIM(SUBSTITUTE($AH54,CHAR(160),""))),0)),
TRUE,0
)
)</f>
        <v/>
      </c>
      <c r="BK54" s="281" t="str" cm="1">
        <f t="array" ref="BK54">IF($AH54="","",
_xlfn.IFS(
$BE54="Devis 1",
IF(ISBLANK(AS54),"",IFERROR(VALUE(TRIM(SUBSTITUTE(AS54,CHAR(160),""))),0)*IFERROR(VALUE(TRIM(SUBSTITUTE($AH54,CHAR(160),""))),0)),
$BE54="Devis 2",
IF(ISBLANK(AX54),"",IFERROR(VALUE(TRIM(SUBSTITUTE(AX54,CHAR(160),""))),0)*IFERROR(VALUE(TRIM(SUBSTITUTE($AH54,CHAR(160),""))),0)),
$BE54="Devis 3",
IF(ISBLANK(BC54),"",IFERROR(VALUE(TRIM(SUBSTITUTE(BC54,CHAR(160),""))),0)*IFERROR(VALUE(TRIM(SUBSTITUTE($AH54,CHAR(160),""))),0)),
TRUE,0
)
)</f>
        <v/>
      </c>
      <c r="BL54" s="281" t="str">
        <f t="shared" si="43"/>
        <v/>
      </c>
      <c r="BM54" s="602"/>
      <c r="BN54" s="23" t="str" cm="1">
        <f t="array" ref="BN54">IF(OR(BL54="",BI54="",BJ54="",BG54="",BK54="",BH54=""),"",_xlfn.IFS(
ROUND(IFERROR(VALUE(TRIM(SUBSTITUTE(BL54,CHAR(160),""))),0),2)&gt;
ROUND(IFERROR(VALUE(TRIM(SUBSTITUTE(BI54,CHAR(160),""))),0),2),
"KO : Le montant retenu TTC est supérieur au montant raisonnable TTC. Merci de revoir la ligne de dépense ou plafonner son montant.",
ROUND(IFERROR(VALUE(TRIM(SUBSTITUTE(BJ54,CHAR(160),""))),0),2)&gt;
ROUND(IFERROR(VALUE(TRIM(SUBSTITUTE(BG54,CHAR(160),""))),0),2),
"Attention : Le montant retenu HT est supérieur au montant HT raisonnable. Merci de revoir la ligne de dépense, plafonner son montant, ou justifier la reventillation HT / TVA.",
ROUND(IFERROR(VALUE(TRIM(SUBSTITUTE(BK54,CHAR(160),""))),0),2)&gt;
ROUND(IFERROR(VALUE(TRIM(SUBSTITUTE(BH54,CHAR(160),""))),0),2),
"Attention : Le montant TVA retenu est supérieur au montant TVA raisonnable. Merci de revoir la ligne de dépense, plafonner son montant, ou justifier la reventillation HT / TVA.",
ROUND(IFERROR(VALUE(TRIM(SUBSTITUTE(BL54,CHAR(160),""))),0),2)&gt;
ROUND(IFERROR(VALUE(TRIM(SUBSTITUTE(MIN(P54,U54,Z54),CHAR(160),""))),0),2),
"Attention : Le devis retenu n'est pas le moins cher. Une justification de la part du porteur est nécessaire.",
ROUND(IFERROR(VALUE(TRIM(SUBSTITUTE(BL54,CHAR(160),""))),0),2)=0,
"Attention : montant présenté entièrement écarté",
ROUND(IFERROR(VALUE(TRIM(SUBSTITUTE(BI54,CHAR(160),""))),0),2)=
ROUND(IFERROR(VALUE(TRIM(SUBSTITUTE(BL54,CHAR(160),""))),0),2),
"OK",
ROUND(IFERROR(VALUE(TRIM(SUBSTITUTE(BI54,CHAR(160),""))),0),2)&gt;
ROUND(IFERROR(VALUE(TRIM(SUBSTITUTE(BL54,CHAR(160),""))),0),2),
" OK : Montant instruit inférieur au montant raisonnable.",
TRUE,""
))</f>
        <v/>
      </c>
      <c r="BO54" s="23" t="str" cm="1">
        <f t="array" ref="BO54">IF(OR(BL54="",AD54="",BJ54="",AB54="",BK54="",AC54=""),"",_xlfn.IFS(
ROUND(IFERROR(VALUE(TRIM(SUBSTITUTE(BL54,CHAR(160),""))),0),2)&gt;
ROUND(IFERROR(VALUE(TRIM(SUBSTITUTE(AD54,CHAR(160),""))),0),2),
"KO : Le montant retenu TTC est supérieur au montant présenté TTC. Merci de revoir la ligne de dépense ou plafonner son montant.",
ROUND(IFERROR(VALUE(TRIM(SUBSTITUTE(BJ54,CHAR(160),""))),0),2)&gt;
ROUND(IFERROR(VALUE(TRIM(SUBSTITUTE(AB54,CHAR(160),""))),0),2),
"Attention : Le montant retenu HT est supérieur au montant HT présenté. Merci de revoir la ligne de dépense, plafonner son montant, ou justifier la reventillation HT / TVA.",
ROUND(IFERROR(VALUE(TRIM(SUBSTITUTE(BK54,CHAR(160),""))),0),2)&gt;
ROUND(IFERROR(VALUE(TRIM(SUBSTITUTE(AC54,CHAR(160),""))),0),2),
"Attention : Le montant TVA retenu est supérieur au montant TVA présenté. Merci de revoir la ligne de dépense, plafonner son montant, ou justifier la reventillation HT / TVA.",
ROUND(IFERROR(VALUE(TRIM(SUBSTITUTE(AD54,CHAR(160),""))),0),2)=0,
"",
ROUND(IFERROR(VALUE(TRIM(SUBSTITUTE(BL54,CHAR(160),""))),0),2)=
ROUND(IFERROR(VALUE(TRIM(SUBSTITUTE(AD54,CHAR(160),""))),0),2),
"OK",
ROUND(IFERROR(VALUE(TRIM(SUBSTITUTE(BL54,CHAR(160),""))),0),2)=0,
"Attention : Montant présenté entièrement rejeté.",
ROUND(IFERROR(VALUE(TRIM(SUBSTITUTE(BL54,CHAR(160),""))),0),2)&lt;
ROUND(IFERROR(VALUE(TRIM(SUBSTITUTE(AD54,CHAR(160),""))),0),2),
"Attention : Montant présenté partiellement rejeté.",
TRUE,""
))</f>
        <v/>
      </c>
      <c r="BP54" s="113" t="str">
        <f t="shared" si="44"/>
        <v/>
      </c>
      <c r="BQ54" s="113" t="str">
        <f t="shared" si="45"/>
        <v/>
      </c>
      <c r="BR54" s="33" t="str">
        <f t="shared" si="46"/>
        <v/>
      </c>
    </row>
    <row r="55" spans="1:70" ht="15" customHeight="1">
      <c r="A55" s="193">
        <v>47</v>
      </c>
      <c r="B55" s="7"/>
      <c r="C55" s="7"/>
      <c r="D55" s="19"/>
      <c r="E55" s="7"/>
      <c r="F55" s="7"/>
      <c r="G55" s="7"/>
      <c r="H55" s="7"/>
      <c r="I55" s="28"/>
      <c r="J55" s="7"/>
      <c r="K55" s="29"/>
      <c r="L55" s="678"/>
      <c r="M55" s="7"/>
      <c r="N55" s="672"/>
      <c r="O55" s="11"/>
      <c r="P55" s="107" t="str">
        <f t="shared" si="48"/>
        <v/>
      </c>
      <c r="Q55" s="699"/>
      <c r="R55" s="702"/>
      <c r="S55" s="684"/>
      <c r="T55" s="11"/>
      <c r="U55" s="107" t="str">
        <f t="shared" si="49"/>
        <v/>
      </c>
      <c r="V55" s="695"/>
      <c r="W55" s="685"/>
      <c r="X55" s="707"/>
      <c r="Y55" s="684"/>
      <c r="Z55" s="108" t="str">
        <f t="shared" si="50"/>
        <v/>
      </c>
      <c r="AA55" s="25"/>
      <c r="AB55" s="287" t="str" cm="1">
        <f t="array" ref="AB55">IF((_xlfn.IFS(TRIM(SUBSTITUTE(AA55,CHAR(160),""))="Devis 1",IFERROR(VALUE(TRIM(SUBSTITUTE(N55,CHAR(160),""))),0),TRIM(SUBSTITUTE(AA55,CHAR(160),""))="Devis 2",IFERROR(VALUE(TRIM(SUBSTITUTE(S55,CHAR(160),""))),0),TRIM(SUBSTITUTE(AA55,CHAR(160),""))="Devis 3",IFERROR(VALUE(TRIM(SUBSTITUTE(X55,CHAR(160),""))),0),TRUE,0)*IFERROR(VALUE(TRIM(SUBSTITUTE(D55,CHAR(160),""))),0))=0,"",_xlfn.IFS(TRIM(SUBSTITUTE(AA55,CHAR(160),""))="Devis 1",IFERROR(VALUE(TRIM(SUBSTITUTE(N55,CHAR(160),""))),0),TRIM(SUBSTITUTE(AA55,CHAR(160),""))="Devis 2",IFERROR(VALUE(TRIM(SUBSTITUTE(S55,CHAR(160),""))),0),TRIM(SUBSTITUTE(AA55,CHAR(160),""))="Devis 3",IFERROR(VALUE(TRIM(SUBSTITUTE(X55,CHAR(160),""))),0),TRUE,0)*IFERROR(VALUE(TRIM(SUBSTITUTE(D55,CHAR(160),""))),0))</f>
        <v/>
      </c>
      <c r="AC55" s="275" t="str" cm="1">
        <f t="array" ref="AC55">IF(_xlfn.IFS(TRIM(SUBSTITUTE(AA55,CHAR(160),""))="Devis 1",IFERROR(VALUE(TRIM(SUBSTITUTE(O55,CHAR(160),""))),0),TRIM(SUBSTITUTE(AA55,CHAR(160),""))="Devis 2",IFERROR(VALUE(TRIM(SUBSTITUTE(T55,CHAR(160),""))),0),TRIM(SUBSTITUTE(AA55,CHAR(160),""))="Devis 3",IFERROR(VALUE(TRIM(SUBSTITUTE(Y55,CHAR(160),""))),0),TRUE,0)*IFERROR(VALUE(TRIM(SUBSTITUTE(D55,CHAR(160),""))),0)=0,IF(AB55&lt;&gt;"",0,""),_xlfn.IFS(TRIM(SUBSTITUTE(AA55,CHAR(160),""))="Devis 1",IFERROR(VALUE(TRIM(SUBSTITUTE(O55,CHAR(160),""))),0),TRIM(SUBSTITUTE(AA55,CHAR(160),""))="Devis 2",IFERROR(VALUE(TRIM(SUBSTITUTE(T55,CHAR(160),""))),0),TRIM(SUBSTITUTE(AA55,CHAR(160),""))="Devis 3",IFERROR(VALUE(TRIM(SUBSTITUTE(Y55,CHAR(160),""))),0),TRUE,0)*IFERROR(VALUE(TRIM(SUBSTITUTE(D55,CHAR(160),""))),0))</f>
        <v/>
      </c>
      <c r="AD55" s="285" t="str">
        <f t="shared" si="51"/>
        <v/>
      </c>
      <c r="AE55" s="26"/>
      <c r="AF55" s="109" t="str">
        <f t="shared" si="14"/>
        <v/>
      </c>
      <c r="AG55" s="109" t="str">
        <f t="shared" si="15"/>
        <v/>
      </c>
      <c r="AH55" s="885" t="str">
        <f t="shared" si="16"/>
        <v/>
      </c>
      <c r="AI55" s="109" t="str">
        <f t="shared" si="17"/>
        <v/>
      </c>
      <c r="AJ55" s="109" t="str">
        <f t="shared" si="18"/>
        <v/>
      </c>
      <c r="AK55" s="109" t="str">
        <f t="shared" si="19"/>
        <v/>
      </c>
      <c r="AL55" s="109" t="str">
        <f t="shared" si="20"/>
        <v/>
      </c>
      <c r="AM55" s="109" t="str">
        <f t="shared" si="21"/>
        <v/>
      </c>
      <c r="AN55" s="109" t="str">
        <f t="shared" si="22"/>
        <v/>
      </c>
      <c r="AO55" s="109" t="str">
        <f t="shared" si="23"/>
        <v/>
      </c>
      <c r="AP55" s="754" t="str">
        <f t="shared" si="24"/>
        <v/>
      </c>
      <c r="AQ55" s="755" t="str">
        <f t="shared" si="25"/>
        <v/>
      </c>
      <c r="AR55" s="195" t="str">
        <f t="shared" si="26"/>
        <v/>
      </c>
      <c r="AS55" s="195" t="str">
        <f t="shared" si="27"/>
        <v/>
      </c>
      <c r="AT55" s="664" t="str">
        <f t="shared" si="28"/>
        <v/>
      </c>
      <c r="AU55" s="756" t="str">
        <f t="shared" si="29"/>
        <v/>
      </c>
      <c r="AV55" s="195" t="str">
        <f t="shared" si="30"/>
        <v/>
      </c>
      <c r="AW55" s="195" t="str">
        <f t="shared" si="31"/>
        <v/>
      </c>
      <c r="AX55" s="195" t="str">
        <f t="shared" si="32"/>
        <v/>
      </c>
      <c r="AY55" s="728" t="str">
        <f t="shared" si="33"/>
        <v/>
      </c>
      <c r="AZ55" s="195" t="str">
        <f t="shared" si="34"/>
        <v/>
      </c>
      <c r="BA55" s="195" t="str">
        <f t="shared" si="35"/>
        <v/>
      </c>
      <c r="BB55" s="195" t="str">
        <f t="shared" si="36"/>
        <v/>
      </c>
      <c r="BC55" s="195" t="str">
        <f t="shared" si="37"/>
        <v/>
      </c>
      <c r="BD55" s="112" t="str">
        <f t="shared" si="38"/>
        <v/>
      </c>
      <c r="BE55" s="109" t="str">
        <f t="shared" si="39"/>
        <v/>
      </c>
      <c r="BF55" s="602"/>
      <c r="BG55" s="113" t="str">
        <f t="shared" si="40"/>
        <v/>
      </c>
      <c r="BH55" s="113" t="str">
        <f t="shared" si="41"/>
        <v/>
      </c>
      <c r="BI55" s="113" t="str">
        <f t="shared" si="42"/>
        <v/>
      </c>
      <c r="BJ55" s="281" t="str" cm="1">
        <f t="array" ref="BJ55">IF($AH55="","",
_xlfn.IFS(
$BE55="Devis 1",
IF(ISBLANK(AR55),"",IFERROR(VALUE(TRIM(SUBSTITUTE(AR55,CHAR(160),""))),0)*IFERROR(VALUE(TRIM(SUBSTITUTE($AH55,CHAR(160),""))),0)),
$BE55="Devis 2",
IF(ISBLANK(AW55),"",IFERROR(VALUE(TRIM(SUBSTITUTE(AW55,CHAR(160),""))),0)*IFERROR(VALUE(TRIM(SUBSTITUTE($AH55,CHAR(160),""))),0)),
$BE55="Devis 3",
IF(ISBLANK(BB55),"",IFERROR(VALUE(TRIM(SUBSTITUTE(BB55,CHAR(160),""))),0)*IFERROR(VALUE(TRIM(SUBSTITUTE($AH55,CHAR(160),""))),0)),
TRUE,0
)
)</f>
        <v/>
      </c>
      <c r="BK55" s="281" t="str" cm="1">
        <f t="array" ref="BK55">IF($AH55="","",
_xlfn.IFS(
$BE55="Devis 1",
IF(ISBLANK(AS55),"",IFERROR(VALUE(TRIM(SUBSTITUTE(AS55,CHAR(160),""))),0)*IFERROR(VALUE(TRIM(SUBSTITUTE($AH55,CHAR(160),""))),0)),
$BE55="Devis 2",
IF(ISBLANK(AX55),"",IFERROR(VALUE(TRIM(SUBSTITUTE(AX55,CHAR(160),""))),0)*IFERROR(VALUE(TRIM(SUBSTITUTE($AH55,CHAR(160),""))),0)),
$BE55="Devis 3",
IF(ISBLANK(BC55),"",IFERROR(VALUE(TRIM(SUBSTITUTE(BC55,CHAR(160),""))),0)*IFERROR(VALUE(TRIM(SUBSTITUTE($AH55,CHAR(160),""))),0)),
TRUE,0
)
)</f>
        <v/>
      </c>
      <c r="BL55" s="281" t="str">
        <f t="shared" si="43"/>
        <v/>
      </c>
      <c r="BM55" s="602"/>
      <c r="BN55" s="23" t="str" cm="1">
        <f t="array" ref="BN55">IF(OR(BL55="",BI55="",BJ55="",BG55="",BK55="",BH55=""),"",_xlfn.IFS(
ROUND(IFERROR(VALUE(TRIM(SUBSTITUTE(BL55,CHAR(160),""))),0),2)&gt;
ROUND(IFERROR(VALUE(TRIM(SUBSTITUTE(BI55,CHAR(160),""))),0),2),
"KO : Le montant retenu TTC est supérieur au montant raisonnable TTC. Merci de revoir la ligne de dépense ou plafonner son montant.",
ROUND(IFERROR(VALUE(TRIM(SUBSTITUTE(BJ55,CHAR(160),""))),0),2)&gt;
ROUND(IFERROR(VALUE(TRIM(SUBSTITUTE(BG55,CHAR(160),""))),0),2),
"Attention : Le montant retenu HT est supérieur au montant HT raisonnable. Merci de revoir la ligne de dépense, plafonner son montant, ou justifier la reventillation HT / TVA.",
ROUND(IFERROR(VALUE(TRIM(SUBSTITUTE(BK55,CHAR(160),""))),0),2)&gt;
ROUND(IFERROR(VALUE(TRIM(SUBSTITUTE(BH55,CHAR(160),""))),0),2),
"Attention : Le montant TVA retenu est supérieur au montant TVA raisonnable. Merci de revoir la ligne de dépense, plafonner son montant, ou justifier la reventillation HT / TVA.",
ROUND(IFERROR(VALUE(TRIM(SUBSTITUTE(BL55,CHAR(160),""))),0),2)&gt;
ROUND(IFERROR(VALUE(TRIM(SUBSTITUTE(MIN(P55,U55,Z55),CHAR(160),""))),0),2),
"Attention : Le devis retenu n'est pas le moins cher. Une justification de la part du porteur est nécessaire.",
ROUND(IFERROR(VALUE(TRIM(SUBSTITUTE(BL55,CHAR(160),""))),0),2)=0,
"Attention : montant présenté entièrement écarté",
ROUND(IFERROR(VALUE(TRIM(SUBSTITUTE(BI55,CHAR(160),""))),0),2)=
ROUND(IFERROR(VALUE(TRIM(SUBSTITUTE(BL55,CHAR(160),""))),0),2),
"OK",
ROUND(IFERROR(VALUE(TRIM(SUBSTITUTE(BI55,CHAR(160),""))),0),2)&gt;
ROUND(IFERROR(VALUE(TRIM(SUBSTITUTE(BL55,CHAR(160),""))),0),2),
" OK : Montant instruit inférieur au montant raisonnable.",
TRUE,""
))</f>
        <v/>
      </c>
      <c r="BO55" s="23" t="str" cm="1">
        <f t="array" ref="BO55">IF(OR(BL55="",AD55="",BJ55="",AB55="",BK55="",AC55=""),"",_xlfn.IFS(
ROUND(IFERROR(VALUE(TRIM(SUBSTITUTE(BL55,CHAR(160),""))),0),2)&gt;
ROUND(IFERROR(VALUE(TRIM(SUBSTITUTE(AD55,CHAR(160),""))),0),2),
"KO : Le montant retenu TTC est supérieur au montant présenté TTC. Merci de revoir la ligne de dépense ou plafonner son montant.",
ROUND(IFERROR(VALUE(TRIM(SUBSTITUTE(BJ55,CHAR(160),""))),0),2)&gt;
ROUND(IFERROR(VALUE(TRIM(SUBSTITUTE(AB55,CHAR(160),""))),0),2),
"Attention : Le montant retenu HT est supérieur au montant HT présenté. Merci de revoir la ligne de dépense, plafonner son montant, ou justifier la reventillation HT / TVA.",
ROUND(IFERROR(VALUE(TRIM(SUBSTITUTE(BK55,CHAR(160),""))),0),2)&gt;
ROUND(IFERROR(VALUE(TRIM(SUBSTITUTE(AC55,CHAR(160),""))),0),2),
"Attention : Le montant TVA retenu est supérieur au montant TVA présenté. Merci de revoir la ligne de dépense, plafonner son montant, ou justifier la reventillation HT / TVA.",
ROUND(IFERROR(VALUE(TRIM(SUBSTITUTE(AD55,CHAR(160),""))),0),2)=0,
"",
ROUND(IFERROR(VALUE(TRIM(SUBSTITUTE(BL55,CHAR(160),""))),0),2)=
ROUND(IFERROR(VALUE(TRIM(SUBSTITUTE(AD55,CHAR(160),""))),0),2),
"OK",
ROUND(IFERROR(VALUE(TRIM(SUBSTITUTE(BL55,CHAR(160),""))),0),2)=0,
"Attention : Montant présenté entièrement rejeté.",
ROUND(IFERROR(VALUE(TRIM(SUBSTITUTE(BL55,CHAR(160),""))),0),2)&lt;
ROUND(IFERROR(VALUE(TRIM(SUBSTITUTE(AD55,CHAR(160),""))),0),2),
"Attention : Montant présenté partiellement rejeté.",
TRUE,""
))</f>
        <v/>
      </c>
      <c r="BP55" s="113" t="str">
        <f t="shared" si="44"/>
        <v/>
      </c>
      <c r="BQ55" s="113" t="str">
        <f t="shared" si="45"/>
        <v/>
      </c>
      <c r="BR55" s="33" t="str">
        <f t="shared" si="46"/>
        <v/>
      </c>
    </row>
    <row r="56" spans="1:70" ht="15" customHeight="1">
      <c r="A56" s="193">
        <v>48</v>
      </c>
      <c r="B56" s="7"/>
      <c r="C56" s="7"/>
      <c r="D56" s="19"/>
      <c r="E56" s="7"/>
      <c r="F56" s="7"/>
      <c r="G56" s="7"/>
      <c r="H56" s="7"/>
      <c r="I56" s="28"/>
      <c r="J56" s="7"/>
      <c r="K56" s="29"/>
      <c r="L56" s="678"/>
      <c r="M56" s="7"/>
      <c r="N56" s="672"/>
      <c r="O56" s="11"/>
      <c r="P56" s="107" t="str">
        <f t="shared" si="48"/>
        <v/>
      </c>
      <c r="Q56" s="699"/>
      <c r="R56" s="702"/>
      <c r="S56" s="684"/>
      <c r="T56" s="11"/>
      <c r="U56" s="107" t="str">
        <f t="shared" si="49"/>
        <v/>
      </c>
      <c r="V56" s="695"/>
      <c r="W56" s="685"/>
      <c r="X56" s="707"/>
      <c r="Y56" s="684"/>
      <c r="Z56" s="108" t="str">
        <f t="shared" si="50"/>
        <v/>
      </c>
      <c r="AA56" s="25"/>
      <c r="AB56" s="287" t="str" cm="1">
        <f t="array" ref="AB56">IF((_xlfn.IFS(TRIM(SUBSTITUTE(AA56,CHAR(160),""))="Devis 1",IFERROR(VALUE(TRIM(SUBSTITUTE(N56,CHAR(160),""))),0),TRIM(SUBSTITUTE(AA56,CHAR(160),""))="Devis 2",IFERROR(VALUE(TRIM(SUBSTITUTE(S56,CHAR(160),""))),0),TRIM(SUBSTITUTE(AA56,CHAR(160),""))="Devis 3",IFERROR(VALUE(TRIM(SUBSTITUTE(X56,CHAR(160),""))),0),TRUE,0)*IFERROR(VALUE(TRIM(SUBSTITUTE(D56,CHAR(160),""))),0))=0,"",_xlfn.IFS(TRIM(SUBSTITUTE(AA56,CHAR(160),""))="Devis 1",IFERROR(VALUE(TRIM(SUBSTITUTE(N56,CHAR(160),""))),0),TRIM(SUBSTITUTE(AA56,CHAR(160),""))="Devis 2",IFERROR(VALUE(TRIM(SUBSTITUTE(S56,CHAR(160),""))),0),TRIM(SUBSTITUTE(AA56,CHAR(160),""))="Devis 3",IFERROR(VALUE(TRIM(SUBSTITUTE(X56,CHAR(160),""))),0),TRUE,0)*IFERROR(VALUE(TRIM(SUBSTITUTE(D56,CHAR(160),""))),0))</f>
        <v/>
      </c>
      <c r="AC56" s="275" t="str" cm="1">
        <f t="array" ref="AC56">IF(_xlfn.IFS(TRIM(SUBSTITUTE(AA56,CHAR(160),""))="Devis 1",IFERROR(VALUE(TRIM(SUBSTITUTE(O56,CHAR(160),""))),0),TRIM(SUBSTITUTE(AA56,CHAR(160),""))="Devis 2",IFERROR(VALUE(TRIM(SUBSTITUTE(T56,CHAR(160),""))),0),TRIM(SUBSTITUTE(AA56,CHAR(160),""))="Devis 3",IFERROR(VALUE(TRIM(SUBSTITUTE(Y56,CHAR(160),""))),0),TRUE,0)*IFERROR(VALUE(TRIM(SUBSTITUTE(D56,CHAR(160),""))),0)=0,IF(AB56&lt;&gt;"",0,""),_xlfn.IFS(TRIM(SUBSTITUTE(AA56,CHAR(160),""))="Devis 1",IFERROR(VALUE(TRIM(SUBSTITUTE(O56,CHAR(160),""))),0),TRIM(SUBSTITUTE(AA56,CHAR(160),""))="Devis 2",IFERROR(VALUE(TRIM(SUBSTITUTE(T56,CHAR(160),""))),0),TRIM(SUBSTITUTE(AA56,CHAR(160),""))="Devis 3",IFERROR(VALUE(TRIM(SUBSTITUTE(Y56,CHAR(160),""))),0),TRUE,0)*IFERROR(VALUE(TRIM(SUBSTITUTE(D56,CHAR(160),""))),0))</f>
        <v/>
      </c>
      <c r="AD56" s="285" t="str">
        <f t="shared" si="51"/>
        <v/>
      </c>
      <c r="AE56" s="26"/>
      <c r="AF56" s="109" t="str">
        <f t="shared" si="14"/>
        <v/>
      </c>
      <c r="AG56" s="109" t="str">
        <f t="shared" si="15"/>
        <v/>
      </c>
      <c r="AH56" s="885" t="str">
        <f t="shared" si="16"/>
        <v/>
      </c>
      <c r="AI56" s="109" t="str">
        <f t="shared" si="17"/>
        <v/>
      </c>
      <c r="AJ56" s="109" t="str">
        <f t="shared" si="18"/>
        <v/>
      </c>
      <c r="AK56" s="109" t="str">
        <f t="shared" si="19"/>
        <v/>
      </c>
      <c r="AL56" s="109" t="str">
        <f t="shared" si="20"/>
        <v/>
      </c>
      <c r="AM56" s="109" t="str">
        <f t="shared" si="21"/>
        <v/>
      </c>
      <c r="AN56" s="109" t="str">
        <f t="shared" si="22"/>
        <v/>
      </c>
      <c r="AO56" s="109" t="str">
        <f t="shared" si="23"/>
        <v/>
      </c>
      <c r="AP56" s="754" t="str">
        <f t="shared" si="24"/>
        <v/>
      </c>
      <c r="AQ56" s="755" t="str">
        <f t="shared" si="25"/>
        <v/>
      </c>
      <c r="AR56" s="195" t="str">
        <f t="shared" si="26"/>
        <v/>
      </c>
      <c r="AS56" s="195" t="str">
        <f t="shared" si="27"/>
        <v/>
      </c>
      <c r="AT56" s="664" t="str">
        <f t="shared" si="28"/>
        <v/>
      </c>
      <c r="AU56" s="756" t="str">
        <f t="shared" si="29"/>
        <v/>
      </c>
      <c r="AV56" s="195" t="str">
        <f t="shared" si="30"/>
        <v/>
      </c>
      <c r="AW56" s="195" t="str">
        <f t="shared" si="31"/>
        <v/>
      </c>
      <c r="AX56" s="195" t="str">
        <f t="shared" si="32"/>
        <v/>
      </c>
      <c r="AY56" s="728" t="str">
        <f t="shared" si="33"/>
        <v/>
      </c>
      <c r="AZ56" s="195" t="str">
        <f t="shared" si="34"/>
        <v/>
      </c>
      <c r="BA56" s="195" t="str">
        <f t="shared" si="35"/>
        <v/>
      </c>
      <c r="BB56" s="195" t="str">
        <f t="shared" si="36"/>
        <v/>
      </c>
      <c r="BC56" s="195" t="str">
        <f t="shared" si="37"/>
        <v/>
      </c>
      <c r="BD56" s="112" t="str">
        <f t="shared" si="38"/>
        <v/>
      </c>
      <c r="BE56" s="109" t="str">
        <f t="shared" si="39"/>
        <v/>
      </c>
      <c r="BF56" s="602"/>
      <c r="BG56" s="113" t="str">
        <f t="shared" si="40"/>
        <v/>
      </c>
      <c r="BH56" s="113" t="str">
        <f t="shared" si="41"/>
        <v/>
      </c>
      <c r="BI56" s="113" t="str">
        <f t="shared" si="42"/>
        <v/>
      </c>
      <c r="BJ56" s="281" t="str" cm="1">
        <f t="array" ref="BJ56">IF($AH56="","",
_xlfn.IFS(
$BE56="Devis 1",
IF(ISBLANK(AR56),"",IFERROR(VALUE(TRIM(SUBSTITUTE(AR56,CHAR(160),""))),0)*IFERROR(VALUE(TRIM(SUBSTITUTE($AH56,CHAR(160),""))),0)),
$BE56="Devis 2",
IF(ISBLANK(AW56),"",IFERROR(VALUE(TRIM(SUBSTITUTE(AW56,CHAR(160),""))),0)*IFERROR(VALUE(TRIM(SUBSTITUTE($AH56,CHAR(160),""))),0)),
$BE56="Devis 3",
IF(ISBLANK(BB56),"",IFERROR(VALUE(TRIM(SUBSTITUTE(BB56,CHAR(160),""))),0)*IFERROR(VALUE(TRIM(SUBSTITUTE($AH56,CHAR(160),""))),0)),
TRUE,0
)
)</f>
        <v/>
      </c>
      <c r="BK56" s="281" t="str" cm="1">
        <f t="array" ref="BK56">IF($AH56="","",
_xlfn.IFS(
$BE56="Devis 1",
IF(ISBLANK(AS56),"",IFERROR(VALUE(TRIM(SUBSTITUTE(AS56,CHAR(160),""))),0)*IFERROR(VALUE(TRIM(SUBSTITUTE($AH56,CHAR(160),""))),0)),
$BE56="Devis 2",
IF(ISBLANK(AX56),"",IFERROR(VALUE(TRIM(SUBSTITUTE(AX56,CHAR(160),""))),0)*IFERROR(VALUE(TRIM(SUBSTITUTE($AH56,CHAR(160),""))),0)),
$BE56="Devis 3",
IF(ISBLANK(BC56),"",IFERROR(VALUE(TRIM(SUBSTITUTE(BC56,CHAR(160),""))),0)*IFERROR(VALUE(TRIM(SUBSTITUTE($AH56,CHAR(160),""))),0)),
TRUE,0
)
)</f>
        <v/>
      </c>
      <c r="BL56" s="281" t="str">
        <f t="shared" si="43"/>
        <v/>
      </c>
      <c r="BM56" s="602"/>
      <c r="BN56" s="23" t="str" cm="1">
        <f t="array" ref="BN56">IF(OR(BL56="",BI56="",BJ56="",BG56="",BK56="",BH56=""),"",_xlfn.IFS(
ROUND(IFERROR(VALUE(TRIM(SUBSTITUTE(BL56,CHAR(160),""))),0),2)&gt;
ROUND(IFERROR(VALUE(TRIM(SUBSTITUTE(BI56,CHAR(160),""))),0),2),
"KO : Le montant retenu TTC est supérieur au montant raisonnable TTC. Merci de revoir la ligne de dépense ou plafonner son montant.",
ROUND(IFERROR(VALUE(TRIM(SUBSTITUTE(BJ56,CHAR(160),""))),0),2)&gt;
ROUND(IFERROR(VALUE(TRIM(SUBSTITUTE(BG56,CHAR(160),""))),0),2),
"Attention : Le montant retenu HT est supérieur au montant HT raisonnable. Merci de revoir la ligne de dépense, plafonner son montant, ou justifier la reventillation HT / TVA.",
ROUND(IFERROR(VALUE(TRIM(SUBSTITUTE(BK56,CHAR(160),""))),0),2)&gt;
ROUND(IFERROR(VALUE(TRIM(SUBSTITUTE(BH56,CHAR(160),""))),0),2),
"Attention : Le montant TVA retenu est supérieur au montant TVA raisonnable. Merci de revoir la ligne de dépense, plafonner son montant, ou justifier la reventillation HT / TVA.",
ROUND(IFERROR(VALUE(TRIM(SUBSTITUTE(BL56,CHAR(160),""))),0),2)&gt;
ROUND(IFERROR(VALUE(TRIM(SUBSTITUTE(MIN(P56,U56,Z56),CHAR(160),""))),0),2),
"Attention : Le devis retenu n'est pas le moins cher. Une justification de la part du porteur est nécessaire.",
ROUND(IFERROR(VALUE(TRIM(SUBSTITUTE(BL56,CHAR(160),""))),0),2)=0,
"Attention : montant présenté entièrement écarté",
ROUND(IFERROR(VALUE(TRIM(SUBSTITUTE(BI56,CHAR(160),""))),0),2)=
ROUND(IFERROR(VALUE(TRIM(SUBSTITUTE(BL56,CHAR(160),""))),0),2),
"OK",
ROUND(IFERROR(VALUE(TRIM(SUBSTITUTE(BI56,CHAR(160),""))),0),2)&gt;
ROUND(IFERROR(VALUE(TRIM(SUBSTITUTE(BL56,CHAR(160),""))),0),2),
" OK : Montant instruit inférieur au montant raisonnable.",
TRUE,""
))</f>
        <v/>
      </c>
      <c r="BO56" s="23" t="str" cm="1">
        <f t="array" ref="BO56">IF(OR(BL56="",AD56="",BJ56="",AB56="",BK56="",AC56=""),"",_xlfn.IFS(
ROUND(IFERROR(VALUE(TRIM(SUBSTITUTE(BL56,CHAR(160),""))),0),2)&gt;
ROUND(IFERROR(VALUE(TRIM(SUBSTITUTE(AD56,CHAR(160),""))),0),2),
"KO : Le montant retenu TTC est supérieur au montant présenté TTC. Merci de revoir la ligne de dépense ou plafonner son montant.",
ROUND(IFERROR(VALUE(TRIM(SUBSTITUTE(BJ56,CHAR(160),""))),0),2)&gt;
ROUND(IFERROR(VALUE(TRIM(SUBSTITUTE(AB56,CHAR(160),""))),0),2),
"Attention : Le montant retenu HT est supérieur au montant HT présenté. Merci de revoir la ligne de dépense, plafonner son montant, ou justifier la reventillation HT / TVA.",
ROUND(IFERROR(VALUE(TRIM(SUBSTITUTE(BK56,CHAR(160),""))),0),2)&gt;
ROUND(IFERROR(VALUE(TRIM(SUBSTITUTE(AC56,CHAR(160),""))),0),2),
"Attention : Le montant TVA retenu est supérieur au montant TVA présenté. Merci de revoir la ligne de dépense, plafonner son montant, ou justifier la reventillation HT / TVA.",
ROUND(IFERROR(VALUE(TRIM(SUBSTITUTE(AD56,CHAR(160),""))),0),2)=0,
"",
ROUND(IFERROR(VALUE(TRIM(SUBSTITUTE(BL56,CHAR(160),""))),0),2)=
ROUND(IFERROR(VALUE(TRIM(SUBSTITUTE(AD56,CHAR(160),""))),0),2),
"OK",
ROUND(IFERROR(VALUE(TRIM(SUBSTITUTE(BL56,CHAR(160),""))),0),2)=0,
"Attention : Montant présenté entièrement rejeté.",
ROUND(IFERROR(VALUE(TRIM(SUBSTITUTE(BL56,CHAR(160),""))),0),2)&lt;
ROUND(IFERROR(VALUE(TRIM(SUBSTITUTE(AD56,CHAR(160),""))),0),2),
"Attention : Montant présenté partiellement rejeté.",
TRUE,""
))</f>
        <v/>
      </c>
      <c r="BP56" s="113" t="str">
        <f t="shared" si="44"/>
        <v/>
      </c>
      <c r="BQ56" s="113" t="str">
        <f t="shared" si="45"/>
        <v/>
      </c>
      <c r="BR56" s="33" t="str">
        <f t="shared" si="46"/>
        <v/>
      </c>
    </row>
    <row r="57" spans="1:70" ht="15" customHeight="1">
      <c r="A57" s="193">
        <v>49</v>
      </c>
      <c r="B57" s="7"/>
      <c r="C57" s="7"/>
      <c r="D57" s="19"/>
      <c r="E57" s="7"/>
      <c r="F57" s="7"/>
      <c r="G57" s="7"/>
      <c r="H57" s="7"/>
      <c r="I57" s="28"/>
      <c r="J57" s="7"/>
      <c r="K57" s="29"/>
      <c r="L57" s="678"/>
      <c r="M57" s="7"/>
      <c r="N57" s="672"/>
      <c r="O57" s="11"/>
      <c r="P57" s="107" t="str">
        <f t="shared" si="48"/>
        <v/>
      </c>
      <c r="Q57" s="699"/>
      <c r="R57" s="702"/>
      <c r="S57" s="684"/>
      <c r="T57" s="11"/>
      <c r="U57" s="107" t="str">
        <f t="shared" si="49"/>
        <v/>
      </c>
      <c r="V57" s="695"/>
      <c r="W57" s="685"/>
      <c r="X57" s="707"/>
      <c r="Y57" s="684"/>
      <c r="Z57" s="108" t="str">
        <f t="shared" si="50"/>
        <v/>
      </c>
      <c r="AA57" s="25"/>
      <c r="AB57" s="287" t="str" cm="1">
        <f t="array" ref="AB57">IF((_xlfn.IFS(TRIM(SUBSTITUTE(AA57,CHAR(160),""))="Devis 1",IFERROR(VALUE(TRIM(SUBSTITUTE(N57,CHAR(160),""))),0),TRIM(SUBSTITUTE(AA57,CHAR(160),""))="Devis 2",IFERROR(VALUE(TRIM(SUBSTITUTE(S57,CHAR(160),""))),0),TRIM(SUBSTITUTE(AA57,CHAR(160),""))="Devis 3",IFERROR(VALUE(TRIM(SUBSTITUTE(X57,CHAR(160),""))),0),TRUE,0)*IFERROR(VALUE(TRIM(SUBSTITUTE(D57,CHAR(160),""))),0))=0,"",_xlfn.IFS(TRIM(SUBSTITUTE(AA57,CHAR(160),""))="Devis 1",IFERROR(VALUE(TRIM(SUBSTITUTE(N57,CHAR(160),""))),0),TRIM(SUBSTITUTE(AA57,CHAR(160),""))="Devis 2",IFERROR(VALUE(TRIM(SUBSTITUTE(S57,CHAR(160),""))),0),TRIM(SUBSTITUTE(AA57,CHAR(160),""))="Devis 3",IFERROR(VALUE(TRIM(SUBSTITUTE(X57,CHAR(160),""))),0),TRUE,0)*IFERROR(VALUE(TRIM(SUBSTITUTE(D57,CHAR(160),""))),0))</f>
        <v/>
      </c>
      <c r="AC57" s="275" t="str" cm="1">
        <f t="array" ref="AC57">IF(_xlfn.IFS(TRIM(SUBSTITUTE(AA57,CHAR(160),""))="Devis 1",IFERROR(VALUE(TRIM(SUBSTITUTE(O57,CHAR(160),""))),0),TRIM(SUBSTITUTE(AA57,CHAR(160),""))="Devis 2",IFERROR(VALUE(TRIM(SUBSTITUTE(T57,CHAR(160),""))),0),TRIM(SUBSTITUTE(AA57,CHAR(160),""))="Devis 3",IFERROR(VALUE(TRIM(SUBSTITUTE(Y57,CHAR(160),""))),0),TRUE,0)*IFERROR(VALUE(TRIM(SUBSTITUTE(D57,CHAR(160),""))),0)=0,IF(AB57&lt;&gt;"",0,""),_xlfn.IFS(TRIM(SUBSTITUTE(AA57,CHAR(160),""))="Devis 1",IFERROR(VALUE(TRIM(SUBSTITUTE(O57,CHAR(160),""))),0),TRIM(SUBSTITUTE(AA57,CHAR(160),""))="Devis 2",IFERROR(VALUE(TRIM(SUBSTITUTE(T57,CHAR(160),""))),0),TRIM(SUBSTITUTE(AA57,CHAR(160),""))="Devis 3",IFERROR(VALUE(TRIM(SUBSTITUTE(Y57,CHAR(160),""))),0),TRUE,0)*IFERROR(VALUE(TRIM(SUBSTITUTE(D57,CHAR(160),""))),0))</f>
        <v/>
      </c>
      <c r="AD57" s="285" t="str">
        <f t="shared" si="51"/>
        <v/>
      </c>
      <c r="AE57" s="26"/>
      <c r="AF57" s="109" t="str">
        <f t="shared" si="14"/>
        <v/>
      </c>
      <c r="AG57" s="109" t="str">
        <f t="shared" si="15"/>
        <v/>
      </c>
      <c r="AH57" s="885" t="str">
        <f t="shared" si="16"/>
        <v/>
      </c>
      <c r="AI57" s="109" t="str">
        <f t="shared" si="17"/>
        <v/>
      </c>
      <c r="AJ57" s="109" t="str">
        <f t="shared" si="18"/>
        <v/>
      </c>
      <c r="AK57" s="109" t="str">
        <f t="shared" si="19"/>
        <v/>
      </c>
      <c r="AL57" s="109" t="str">
        <f t="shared" si="20"/>
        <v/>
      </c>
      <c r="AM57" s="109" t="str">
        <f t="shared" si="21"/>
        <v/>
      </c>
      <c r="AN57" s="109" t="str">
        <f t="shared" si="22"/>
        <v/>
      </c>
      <c r="AO57" s="109" t="str">
        <f t="shared" si="23"/>
        <v/>
      </c>
      <c r="AP57" s="754" t="str">
        <f t="shared" si="24"/>
        <v/>
      </c>
      <c r="AQ57" s="755" t="str">
        <f t="shared" si="25"/>
        <v/>
      </c>
      <c r="AR57" s="195" t="str">
        <f t="shared" si="26"/>
        <v/>
      </c>
      <c r="AS57" s="195" t="str">
        <f t="shared" si="27"/>
        <v/>
      </c>
      <c r="AT57" s="664" t="str">
        <f t="shared" si="28"/>
        <v/>
      </c>
      <c r="AU57" s="756" t="str">
        <f t="shared" si="29"/>
        <v/>
      </c>
      <c r="AV57" s="195" t="str">
        <f t="shared" si="30"/>
        <v/>
      </c>
      <c r="AW57" s="195" t="str">
        <f t="shared" si="31"/>
        <v/>
      </c>
      <c r="AX57" s="195" t="str">
        <f t="shared" si="32"/>
        <v/>
      </c>
      <c r="AY57" s="728" t="str">
        <f t="shared" si="33"/>
        <v/>
      </c>
      <c r="AZ57" s="195" t="str">
        <f t="shared" si="34"/>
        <v/>
      </c>
      <c r="BA57" s="195" t="str">
        <f t="shared" si="35"/>
        <v/>
      </c>
      <c r="BB57" s="195" t="str">
        <f t="shared" si="36"/>
        <v/>
      </c>
      <c r="BC57" s="195" t="str">
        <f t="shared" si="37"/>
        <v/>
      </c>
      <c r="BD57" s="112" t="str">
        <f t="shared" si="38"/>
        <v/>
      </c>
      <c r="BE57" s="109" t="str">
        <f t="shared" si="39"/>
        <v/>
      </c>
      <c r="BF57" s="602"/>
      <c r="BG57" s="113" t="str">
        <f t="shared" si="40"/>
        <v/>
      </c>
      <c r="BH57" s="113" t="str">
        <f t="shared" si="41"/>
        <v/>
      </c>
      <c r="BI57" s="113" t="str">
        <f t="shared" si="42"/>
        <v/>
      </c>
      <c r="BJ57" s="281" t="str" cm="1">
        <f t="array" ref="BJ57">IF($AH57="","",
_xlfn.IFS(
$BE57="Devis 1",
IF(ISBLANK(AR57),"",IFERROR(VALUE(TRIM(SUBSTITUTE(AR57,CHAR(160),""))),0)*IFERROR(VALUE(TRIM(SUBSTITUTE($AH57,CHAR(160),""))),0)),
$BE57="Devis 2",
IF(ISBLANK(AW57),"",IFERROR(VALUE(TRIM(SUBSTITUTE(AW57,CHAR(160),""))),0)*IFERROR(VALUE(TRIM(SUBSTITUTE($AH57,CHAR(160),""))),0)),
$BE57="Devis 3",
IF(ISBLANK(BB57),"",IFERROR(VALUE(TRIM(SUBSTITUTE(BB57,CHAR(160),""))),0)*IFERROR(VALUE(TRIM(SUBSTITUTE($AH57,CHAR(160),""))),0)),
TRUE,0
)
)</f>
        <v/>
      </c>
      <c r="BK57" s="281" t="str" cm="1">
        <f t="array" ref="BK57">IF($AH57="","",
_xlfn.IFS(
$BE57="Devis 1",
IF(ISBLANK(AS57),"",IFERROR(VALUE(TRIM(SUBSTITUTE(AS57,CHAR(160),""))),0)*IFERROR(VALUE(TRIM(SUBSTITUTE($AH57,CHAR(160),""))),0)),
$BE57="Devis 2",
IF(ISBLANK(AX57),"",IFERROR(VALUE(TRIM(SUBSTITUTE(AX57,CHAR(160),""))),0)*IFERROR(VALUE(TRIM(SUBSTITUTE($AH57,CHAR(160),""))),0)),
$BE57="Devis 3",
IF(ISBLANK(BC57),"",IFERROR(VALUE(TRIM(SUBSTITUTE(BC57,CHAR(160),""))),0)*IFERROR(VALUE(TRIM(SUBSTITUTE($AH57,CHAR(160),""))),0)),
TRUE,0
)
)</f>
        <v/>
      </c>
      <c r="BL57" s="281" t="str">
        <f t="shared" si="43"/>
        <v/>
      </c>
      <c r="BM57" s="602"/>
      <c r="BN57" s="23" t="str" cm="1">
        <f t="array" ref="BN57">IF(OR(BL57="",BI57="",BJ57="",BG57="",BK57="",BH57=""),"",_xlfn.IFS(
ROUND(IFERROR(VALUE(TRIM(SUBSTITUTE(BL57,CHAR(160),""))),0),2)&gt;
ROUND(IFERROR(VALUE(TRIM(SUBSTITUTE(BI57,CHAR(160),""))),0),2),
"KO : Le montant retenu TTC est supérieur au montant raisonnable TTC. Merci de revoir la ligne de dépense ou plafonner son montant.",
ROUND(IFERROR(VALUE(TRIM(SUBSTITUTE(BJ57,CHAR(160),""))),0),2)&gt;
ROUND(IFERROR(VALUE(TRIM(SUBSTITUTE(BG57,CHAR(160),""))),0),2),
"Attention : Le montant retenu HT est supérieur au montant HT raisonnable. Merci de revoir la ligne de dépense, plafonner son montant, ou justifier la reventillation HT / TVA.",
ROUND(IFERROR(VALUE(TRIM(SUBSTITUTE(BK57,CHAR(160),""))),0),2)&gt;
ROUND(IFERROR(VALUE(TRIM(SUBSTITUTE(BH57,CHAR(160),""))),0),2),
"Attention : Le montant TVA retenu est supérieur au montant TVA raisonnable. Merci de revoir la ligne de dépense, plafonner son montant, ou justifier la reventillation HT / TVA.",
ROUND(IFERROR(VALUE(TRIM(SUBSTITUTE(BL57,CHAR(160),""))),0),2)&gt;
ROUND(IFERROR(VALUE(TRIM(SUBSTITUTE(MIN(P57,U57,Z57),CHAR(160),""))),0),2),
"Attention : Le devis retenu n'est pas le moins cher. Une justification de la part du porteur est nécessaire.",
ROUND(IFERROR(VALUE(TRIM(SUBSTITUTE(BL57,CHAR(160),""))),0),2)=0,
"Attention : montant présenté entièrement écarté",
ROUND(IFERROR(VALUE(TRIM(SUBSTITUTE(BI57,CHAR(160),""))),0),2)=
ROUND(IFERROR(VALUE(TRIM(SUBSTITUTE(BL57,CHAR(160),""))),0),2),
"OK",
ROUND(IFERROR(VALUE(TRIM(SUBSTITUTE(BI57,CHAR(160),""))),0),2)&gt;
ROUND(IFERROR(VALUE(TRIM(SUBSTITUTE(BL57,CHAR(160),""))),0),2),
" OK : Montant instruit inférieur au montant raisonnable.",
TRUE,""
))</f>
        <v/>
      </c>
      <c r="BO57" s="23" t="str" cm="1">
        <f t="array" ref="BO57">IF(OR(BL57="",AD57="",BJ57="",AB57="",BK57="",AC57=""),"",_xlfn.IFS(
ROUND(IFERROR(VALUE(TRIM(SUBSTITUTE(BL57,CHAR(160),""))),0),2)&gt;
ROUND(IFERROR(VALUE(TRIM(SUBSTITUTE(AD57,CHAR(160),""))),0),2),
"KO : Le montant retenu TTC est supérieur au montant présenté TTC. Merci de revoir la ligne de dépense ou plafonner son montant.",
ROUND(IFERROR(VALUE(TRIM(SUBSTITUTE(BJ57,CHAR(160),""))),0),2)&gt;
ROUND(IFERROR(VALUE(TRIM(SUBSTITUTE(AB57,CHAR(160),""))),0),2),
"Attention : Le montant retenu HT est supérieur au montant HT présenté. Merci de revoir la ligne de dépense, plafonner son montant, ou justifier la reventillation HT / TVA.",
ROUND(IFERROR(VALUE(TRIM(SUBSTITUTE(BK57,CHAR(160),""))),0),2)&gt;
ROUND(IFERROR(VALUE(TRIM(SUBSTITUTE(AC57,CHAR(160),""))),0),2),
"Attention : Le montant TVA retenu est supérieur au montant TVA présenté. Merci de revoir la ligne de dépense, plafonner son montant, ou justifier la reventillation HT / TVA.",
ROUND(IFERROR(VALUE(TRIM(SUBSTITUTE(AD57,CHAR(160),""))),0),2)=0,
"",
ROUND(IFERROR(VALUE(TRIM(SUBSTITUTE(BL57,CHAR(160),""))),0),2)=
ROUND(IFERROR(VALUE(TRIM(SUBSTITUTE(AD57,CHAR(160),""))),0),2),
"OK",
ROUND(IFERROR(VALUE(TRIM(SUBSTITUTE(BL57,CHAR(160),""))),0),2)=0,
"Attention : Montant présenté entièrement rejeté.",
ROUND(IFERROR(VALUE(TRIM(SUBSTITUTE(BL57,CHAR(160),""))),0),2)&lt;
ROUND(IFERROR(VALUE(TRIM(SUBSTITUTE(AD57,CHAR(160),""))),0),2),
"Attention : Montant présenté partiellement rejeté.",
TRUE,""
))</f>
        <v/>
      </c>
      <c r="BP57" s="113" t="str">
        <f t="shared" si="44"/>
        <v/>
      </c>
      <c r="BQ57" s="113" t="str">
        <f t="shared" si="45"/>
        <v/>
      </c>
      <c r="BR57" s="33" t="str">
        <f t="shared" si="46"/>
        <v/>
      </c>
    </row>
    <row r="58" spans="1:70" ht="15" customHeight="1">
      <c r="A58" s="193">
        <v>50</v>
      </c>
      <c r="B58" s="7"/>
      <c r="C58" s="7"/>
      <c r="D58" s="19"/>
      <c r="E58" s="7"/>
      <c r="F58" s="7"/>
      <c r="G58" s="7"/>
      <c r="H58" s="7"/>
      <c r="I58" s="28"/>
      <c r="J58" s="7"/>
      <c r="K58" s="29"/>
      <c r="L58" s="678"/>
      <c r="M58" s="7"/>
      <c r="N58" s="672"/>
      <c r="O58" s="11"/>
      <c r="P58" s="107" t="str">
        <f t="shared" si="48"/>
        <v/>
      </c>
      <c r="Q58" s="699"/>
      <c r="R58" s="702"/>
      <c r="S58" s="684"/>
      <c r="T58" s="11"/>
      <c r="U58" s="107" t="str">
        <f t="shared" si="49"/>
        <v/>
      </c>
      <c r="V58" s="695"/>
      <c r="W58" s="685"/>
      <c r="X58" s="707"/>
      <c r="Y58" s="684"/>
      <c r="Z58" s="108" t="str">
        <f t="shared" si="50"/>
        <v/>
      </c>
      <c r="AA58" s="25"/>
      <c r="AB58" s="287" t="str" cm="1">
        <f t="array" ref="AB58">IF((_xlfn.IFS(TRIM(SUBSTITUTE(AA58,CHAR(160),""))="Devis 1",IFERROR(VALUE(TRIM(SUBSTITUTE(N58,CHAR(160),""))),0),TRIM(SUBSTITUTE(AA58,CHAR(160),""))="Devis 2",IFERROR(VALUE(TRIM(SUBSTITUTE(S58,CHAR(160),""))),0),TRIM(SUBSTITUTE(AA58,CHAR(160),""))="Devis 3",IFERROR(VALUE(TRIM(SUBSTITUTE(X58,CHAR(160),""))),0),TRUE,0)*IFERROR(VALUE(TRIM(SUBSTITUTE(D58,CHAR(160),""))),0))=0,"",_xlfn.IFS(TRIM(SUBSTITUTE(AA58,CHAR(160),""))="Devis 1",IFERROR(VALUE(TRIM(SUBSTITUTE(N58,CHAR(160),""))),0),TRIM(SUBSTITUTE(AA58,CHAR(160),""))="Devis 2",IFERROR(VALUE(TRIM(SUBSTITUTE(S58,CHAR(160),""))),0),TRIM(SUBSTITUTE(AA58,CHAR(160),""))="Devis 3",IFERROR(VALUE(TRIM(SUBSTITUTE(X58,CHAR(160),""))),0),TRUE,0)*IFERROR(VALUE(TRIM(SUBSTITUTE(D58,CHAR(160),""))),0))</f>
        <v/>
      </c>
      <c r="AC58" s="275" t="str" cm="1">
        <f t="array" ref="AC58">IF(_xlfn.IFS(TRIM(SUBSTITUTE(AA58,CHAR(160),""))="Devis 1",IFERROR(VALUE(TRIM(SUBSTITUTE(O58,CHAR(160),""))),0),TRIM(SUBSTITUTE(AA58,CHAR(160),""))="Devis 2",IFERROR(VALUE(TRIM(SUBSTITUTE(T58,CHAR(160),""))),0),TRIM(SUBSTITUTE(AA58,CHAR(160),""))="Devis 3",IFERROR(VALUE(TRIM(SUBSTITUTE(Y58,CHAR(160),""))),0),TRUE,0)*IFERROR(VALUE(TRIM(SUBSTITUTE(D58,CHAR(160),""))),0)=0,IF(AB58&lt;&gt;"",0,""),_xlfn.IFS(TRIM(SUBSTITUTE(AA58,CHAR(160),""))="Devis 1",IFERROR(VALUE(TRIM(SUBSTITUTE(O58,CHAR(160),""))),0),TRIM(SUBSTITUTE(AA58,CHAR(160),""))="Devis 2",IFERROR(VALUE(TRIM(SUBSTITUTE(T58,CHAR(160),""))),0),TRIM(SUBSTITUTE(AA58,CHAR(160),""))="Devis 3",IFERROR(VALUE(TRIM(SUBSTITUTE(Y58,CHAR(160),""))),0),TRUE,0)*IFERROR(VALUE(TRIM(SUBSTITUTE(D58,CHAR(160),""))),0))</f>
        <v/>
      </c>
      <c r="AD58" s="285" t="str">
        <f t="shared" si="51"/>
        <v/>
      </c>
      <c r="AE58" s="26"/>
      <c r="AF58" s="109" t="str">
        <f t="shared" si="14"/>
        <v/>
      </c>
      <c r="AG58" s="109" t="str">
        <f t="shared" si="15"/>
        <v/>
      </c>
      <c r="AH58" s="885" t="str">
        <f t="shared" si="16"/>
        <v/>
      </c>
      <c r="AI58" s="109" t="str">
        <f t="shared" si="17"/>
        <v/>
      </c>
      <c r="AJ58" s="109" t="str">
        <f t="shared" si="18"/>
        <v/>
      </c>
      <c r="AK58" s="109" t="str">
        <f t="shared" si="19"/>
        <v/>
      </c>
      <c r="AL58" s="109" t="str">
        <f t="shared" si="20"/>
        <v/>
      </c>
      <c r="AM58" s="109" t="str">
        <f t="shared" si="21"/>
        <v/>
      </c>
      <c r="AN58" s="109" t="str">
        <f t="shared" si="22"/>
        <v/>
      </c>
      <c r="AO58" s="109" t="str">
        <f t="shared" si="23"/>
        <v/>
      </c>
      <c r="AP58" s="754" t="str">
        <f t="shared" si="24"/>
        <v/>
      </c>
      <c r="AQ58" s="755" t="str">
        <f t="shared" si="25"/>
        <v/>
      </c>
      <c r="AR58" s="195" t="str">
        <f t="shared" si="26"/>
        <v/>
      </c>
      <c r="AS58" s="195" t="str">
        <f t="shared" si="27"/>
        <v/>
      </c>
      <c r="AT58" s="664" t="str">
        <f t="shared" si="28"/>
        <v/>
      </c>
      <c r="AU58" s="756" t="str">
        <f t="shared" si="29"/>
        <v/>
      </c>
      <c r="AV58" s="195" t="str">
        <f t="shared" si="30"/>
        <v/>
      </c>
      <c r="AW58" s="195" t="str">
        <f t="shared" si="31"/>
        <v/>
      </c>
      <c r="AX58" s="195" t="str">
        <f t="shared" si="32"/>
        <v/>
      </c>
      <c r="AY58" s="728" t="str">
        <f t="shared" si="33"/>
        <v/>
      </c>
      <c r="AZ58" s="195" t="str">
        <f t="shared" si="34"/>
        <v/>
      </c>
      <c r="BA58" s="195" t="str">
        <f t="shared" si="35"/>
        <v/>
      </c>
      <c r="BB58" s="195" t="str">
        <f t="shared" si="36"/>
        <v/>
      </c>
      <c r="BC58" s="195" t="str">
        <f t="shared" si="37"/>
        <v/>
      </c>
      <c r="BD58" s="112" t="str">
        <f t="shared" si="38"/>
        <v/>
      </c>
      <c r="BE58" s="109" t="str">
        <f t="shared" si="39"/>
        <v/>
      </c>
      <c r="BF58" s="602"/>
      <c r="BG58" s="113" t="str">
        <f t="shared" si="40"/>
        <v/>
      </c>
      <c r="BH58" s="113" t="str">
        <f t="shared" si="41"/>
        <v/>
      </c>
      <c r="BI58" s="113" t="str">
        <f t="shared" si="42"/>
        <v/>
      </c>
      <c r="BJ58" s="281" t="str" cm="1">
        <f t="array" ref="BJ58">IF($AH58="","",
_xlfn.IFS(
$BE58="Devis 1",
IF(ISBLANK(AR58),"",IFERROR(VALUE(TRIM(SUBSTITUTE(AR58,CHAR(160),""))),0)*IFERROR(VALUE(TRIM(SUBSTITUTE($AH58,CHAR(160),""))),0)),
$BE58="Devis 2",
IF(ISBLANK(AW58),"",IFERROR(VALUE(TRIM(SUBSTITUTE(AW58,CHAR(160),""))),0)*IFERROR(VALUE(TRIM(SUBSTITUTE($AH58,CHAR(160),""))),0)),
$BE58="Devis 3",
IF(ISBLANK(BB58),"",IFERROR(VALUE(TRIM(SUBSTITUTE(BB58,CHAR(160),""))),0)*IFERROR(VALUE(TRIM(SUBSTITUTE($AH58,CHAR(160),""))),0)),
TRUE,0
)
)</f>
        <v/>
      </c>
      <c r="BK58" s="281" t="str" cm="1">
        <f t="array" ref="BK58">IF($AH58="","",
_xlfn.IFS(
$BE58="Devis 1",
IF(ISBLANK(AS58),"",IFERROR(VALUE(TRIM(SUBSTITUTE(AS58,CHAR(160),""))),0)*IFERROR(VALUE(TRIM(SUBSTITUTE($AH58,CHAR(160),""))),0)),
$BE58="Devis 2",
IF(ISBLANK(AX58),"",IFERROR(VALUE(TRIM(SUBSTITUTE(AX58,CHAR(160),""))),0)*IFERROR(VALUE(TRIM(SUBSTITUTE($AH58,CHAR(160),""))),0)),
$BE58="Devis 3",
IF(ISBLANK(BC58),"",IFERROR(VALUE(TRIM(SUBSTITUTE(BC58,CHAR(160),""))),0)*IFERROR(VALUE(TRIM(SUBSTITUTE($AH58,CHAR(160),""))),0)),
TRUE,0
)
)</f>
        <v/>
      </c>
      <c r="BL58" s="281" t="str">
        <f t="shared" si="43"/>
        <v/>
      </c>
      <c r="BM58" s="602"/>
      <c r="BN58" s="23" t="str" cm="1">
        <f t="array" ref="BN58">IF(OR(BL58="",BI58="",BJ58="",BG58="",BK58="",BH58=""),"",_xlfn.IFS(
ROUND(IFERROR(VALUE(TRIM(SUBSTITUTE(BL58,CHAR(160),""))),0),2)&gt;
ROUND(IFERROR(VALUE(TRIM(SUBSTITUTE(BI58,CHAR(160),""))),0),2),
"KO : Le montant retenu TTC est supérieur au montant raisonnable TTC. Merci de revoir la ligne de dépense ou plafonner son montant.",
ROUND(IFERROR(VALUE(TRIM(SUBSTITUTE(BJ58,CHAR(160),""))),0),2)&gt;
ROUND(IFERROR(VALUE(TRIM(SUBSTITUTE(BG58,CHAR(160),""))),0),2),
"Attention : Le montant retenu HT est supérieur au montant HT raisonnable. Merci de revoir la ligne de dépense, plafonner son montant, ou justifier la reventillation HT / TVA.",
ROUND(IFERROR(VALUE(TRIM(SUBSTITUTE(BK58,CHAR(160),""))),0),2)&gt;
ROUND(IFERROR(VALUE(TRIM(SUBSTITUTE(BH58,CHAR(160),""))),0),2),
"Attention : Le montant TVA retenu est supérieur au montant TVA raisonnable. Merci de revoir la ligne de dépense, plafonner son montant, ou justifier la reventillation HT / TVA.",
ROUND(IFERROR(VALUE(TRIM(SUBSTITUTE(BL58,CHAR(160),""))),0),2)&gt;
ROUND(IFERROR(VALUE(TRIM(SUBSTITUTE(MIN(P58,U58,Z58),CHAR(160),""))),0),2),
"Attention : Le devis retenu n'est pas le moins cher. Une justification de la part du porteur est nécessaire.",
ROUND(IFERROR(VALUE(TRIM(SUBSTITUTE(BL58,CHAR(160),""))),0),2)=0,
"Attention : montant présenté entièrement écarté",
ROUND(IFERROR(VALUE(TRIM(SUBSTITUTE(BI58,CHAR(160),""))),0),2)=
ROUND(IFERROR(VALUE(TRIM(SUBSTITUTE(BL58,CHAR(160),""))),0),2),
"OK",
ROUND(IFERROR(VALUE(TRIM(SUBSTITUTE(BI58,CHAR(160),""))),0),2)&gt;
ROUND(IFERROR(VALUE(TRIM(SUBSTITUTE(BL58,CHAR(160),""))),0),2),
" OK : Montant instruit inférieur au montant raisonnable.",
TRUE,""
))</f>
        <v/>
      </c>
      <c r="BO58" s="23" t="str" cm="1">
        <f t="array" ref="BO58">IF(OR(BL58="",AD58="",BJ58="",AB58="",BK58="",AC58=""),"",_xlfn.IFS(
ROUND(IFERROR(VALUE(TRIM(SUBSTITUTE(BL58,CHAR(160),""))),0),2)&gt;
ROUND(IFERROR(VALUE(TRIM(SUBSTITUTE(AD58,CHAR(160),""))),0),2),
"KO : Le montant retenu TTC est supérieur au montant présenté TTC. Merci de revoir la ligne de dépense ou plafonner son montant.",
ROUND(IFERROR(VALUE(TRIM(SUBSTITUTE(BJ58,CHAR(160),""))),0),2)&gt;
ROUND(IFERROR(VALUE(TRIM(SUBSTITUTE(AB58,CHAR(160),""))),0),2),
"Attention : Le montant retenu HT est supérieur au montant HT présenté. Merci de revoir la ligne de dépense, plafonner son montant, ou justifier la reventillation HT / TVA.",
ROUND(IFERROR(VALUE(TRIM(SUBSTITUTE(BK58,CHAR(160),""))),0),2)&gt;
ROUND(IFERROR(VALUE(TRIM(SUBSTITUTE(AC58,CHAR(160),""))),0),2),
"Attention : Le montant TVA retenu est supérieur au montant TVA présenté. Merci de revoir la ligne de dépense, plafonner son montant, ou justifier la reventillation HT / TVA.",
ROUND(IFERROR(VALUE(TRIM(SUBSTITUTE(AD58,CHAR(160),""))),0),2)=0,
"",
ROUND(IFERROR(VALUE(TRIM(SUBSTITUTE(BL58,CHAR(160),""))),0),2)=
ROUND(IFERROR(VALUE(TRIM(SUBSTITUTE(AD58,CHAR(160),""))),0),2),
"OK",
ROUND(IFERROR(VALUE(TRIM(SUBSTITUTE(BL58,CHAR(160),""))),0),2)=0,
"Attention : Montant présenté entièrement rejeté.",
ROUND(IFERROR(VALUE(TRIM(SUBSTITUTE(BL58,CHAR(160),""))),0),2)&lt;
ROUND(IFERROR(VALUE(TRIM(SUBSTITUTE(AD58,CHAR(160),""))),0),2),
"Attention : Montant présenté partiellement rejeté.",
TRUE,""
))</f>
        <v/>
      </c>
      <c r="BP58" s="113" t="str">
        <f t="shared" si="44"/>
        <v/>
      </c>
      <c r="BQ58" s="113" t="str">
        <f t="shared" si="45"/>
        <v/>
      </c>
      <c r="BR58" s="33" t="str">
        <f t="shared" si="46"/>
        <v/>
      </c>
    </row>
    <row r="59" spans="1:70" ht="15" customHeight="1">
      <c r="A59" s="193">
        <v>51</v>
      </c>
      <c r="B59" s="7"/>
      <c r="C59" s="7"/>
      <c r="D59" s="19"/>
      <c r="E59" s="7"/>
      <c r="F59" s="7"/>
      <c r="G59" s="7"/>
      <c r="H59" s="7"/>
      <c r="I59" s="28"/>
      <c r="J59" s="7"/>
      <c r="K59" s="29"/>
      <c r="L59" s="678"/>
      <c r="M59" s="7"/>
      <c r="N59" s="672"/>
      <c r="O59" s="11"/>
      <c r="P59" s="107" t="str">
        <f t="shared" si="48"/>
        <v/>
      </c>
      <c r="Q59" s="699"/>
      <c r="R59" s="702"/>
      <c r="S59" s="684"/>
      <c r="T59" s="11"/>
      <c r="U59" s="107" t="str">
        <f t="shared" si="49"/>
        <v/>
      </c>
      <c r="V59" s="695"/>
      <c r="W59" s="685"/>
      <c r="X59" s="707"/>
      <c r="Y59" s="684"/>
      <c r="Z59" s="108" t="str">
        <f t="shared" si="50"/>
        <v/>
      </c>
      <c r="AA59" s="25"/>
      <c r="AB59" s="287" t="str" cm="1">
        <f t="array" ref="AB59">IF((_xlfn.IFS(TRIM(SUBSTITUTE(AA59,CHAR(160),""))="Devis 1",IFERROR(VALUE(TRIM(SUBSTITUTE(N59,CHAR(160),""))),0),TRIM(SUBSTITUTE(AA59,CHAR(160),""))="Devis 2",IFERROR(VALUE(TRIM(SUBSTITUTE(S59,CHAR(160),""))),0),TRIM(SUBSTITUTE(AA59,CHAR(160),""))="Devis 3",IFERROR(VALUE(TRIM(SUBSTITUTE(X59,CHAR(160),""))),0),TRUE,0)*IFERROR(VALUE(TRIM(SUBSTITUTE(D59,CHAR(160),""))),0))=0,"",_xlfn.IFS(TRIM(SUBSTITUTE(AA59,CHAR(160),""))="Devis 1",IFERROR(VALUE(TRIM(SUBSTITUTE(N59,CHAR(160),""))),0),TRIM(SUBSTITUTE(AA59,CHAR(160),""))="Devis 2",IFERROR(VALUE(TRIM(SUBSTITUTE(S59,CHAR(160),""))),0),TRIM(SUBSTITUTE(AA59,CHAR(160),""))="Devis 3",IFERROR(VALUE(TRIM(SUBSTITUTE(X59,CHAR(160),""))),0),TRUE,0)*IFERROR(VALUE(TRIM(SUBSTITUTE(D59,CHAR(160),""))),0))</f>
        <v/>
      </c>
      <c r="AC59" s="275" t="str" cm="1">
        <f t="array" ref="AC59">IF(_xlfn.IFS(TRIM(SUBSTITUTE(AA59,CHAR(160),""))="Devis 1",IFERROR(VALUE(TRIM(SUBSTITUTE(O59,CHAR(160),""))),0),TRIM(SUBSTITUTE(AA59,CHAR(160),""))="Devis 2",IFERROR(VALUE(TRIM(SUBSTITUTE(T59,CHAR(160),""))),0),TRIM(SUBSTITUTE(AA59,CHAR(160),""))="Devis 3",IFERROR(VALUE(TRIM(SUBSTITUTE(Y59,CHAR(160),""))),0),TRUE,0)*IFERROR(VALUE(TRIM(SUBSTITUTE(D59,CHAR(160),""))),0)=0,IF(AB59&lt;&gt;"",0,""),_xlfn.IFS(TRIM(SUBSTITUTE(AA59,CHAR(160),""))="Devis 1",IFERROR(VALUE(TRIM(SUBSTITUTE(O59,CHAR(160),""))),0),TRIM(SUBSTITUTE(AA59,CHAR(160),""))="Devis 2",IFERROR(VALUE(TRIM(SUBSTITUTE(T59,CHAR(160),""))),0),TRIM(SUBSTITUTE(AA59,CHAR(160),""))="Devis 3",IFERROR(VALUE(TRIM(SUBSTITUTE(Y59,CHAR(160),""))),0),TRUE,0)*IFERROR(VALUE(TRIM(SUBSTITUTE(D59,CHAR(160),""))),0))</f>
        <v/>
      </c>
      <c r="AD59" s="285" t="str">
        <f t="shared" si="51"/>
        <v/>
      </c>
      <c r="AE59" s="26"/>
      <c r="AF59" s="109" t="str">
        <f t="shared" si="14"/>
        <v/>
      </c>
      <c r="AG59" s="109" t="str">
        <f t="shared" si="15"/>
        <v/>
      </c>
      <c r="AH59" s="885" t="str">
        <f t="shared" si="16"/>
        <v/>
      </c>
      <c r="AI59" s="109" t="str">
        <f t="shared" si="17"/>
        <v/>
      </c>
      <c r="AJ59" s="109" t="str">
        <f t="shared" si="18"/>
        <v/>
      </c>
      <c r="AK59" s="109" t="str">
        <f t="shared" si="19"/>
        <v/>
      </c>
      <c r="AL59" s="109" t="str">
        <f t="shared" si="20"/>
        <v/>
      </c>
      <c r="AM59" s="109" t="str">
        <f t="shared" si="21"/>
        <v/>
      </c>
      <c r="AN59" s="109" t="str">
        <f t="shared" si="22"/>
        <v/>
      </c>
      <c r="AO59" s="109" t="str">
        <f t="shared" si="23"/>
        <v/>
      </c>
      <c r="AP59" s="754" t="str">
        <f t="shared" si="24"/>
        <v/>
      </c>
      <c r="AQ59" s="755" t="str">
        <f t="shared" si="25"/>
        <v/>
      </c>
      <c r="AR59" s="195" t="str">
        <f t="shared" si="26"/>
        <v/>
      </c>
      <c r="AS59" s="195" t="str">
        <f t="shared" si="27"/>
        <v/>
      </c>
      <c r="AT59" s="664" t="str">
        <f t="shared" si="28"/>
        <v/>
      </c>
      <c r="AU59" s="756" t="str">
        <f t="shared" si="29"/>
        <v/>
      </c>
      <c r="AV59" s="195" t="str">
        <f t="shared" si="30"/>
        <v/>
      </c>
      <c r="AW59" s="195" t="str">
        <f t="shared" si="31"/>
        <v/>
      </c>
      <c r="AX59" s="195" t="str">
        <f t="shared" si="32"/>
        <v/>
      </c>
      <c r="AY59" s="728" t="str">
        <f t="shared" si="33"/>
        <v/>
      </c>
      <c r="AZ59" s="195" t="str">
        <f t="shared" si="34"/>
        <v/>
      </c>
      <c r="BA59" s="195" t="str">
        <f t="shared" si="35"/>
        <v/>
      </c>
      <c r="BB59" s="195" t="str">
        <f t="shared" si="36"/>
        <v/>
      </c>
      <c r="BC59" s="195" t="str">
        <f t="shared" si="37"/>
        <v/>
      </c>
      <c r="BD59" s="112" t="str">
        <f t="shared" si="38"/>
        <v/>
      </c>
      <c r="BE59" s="109" t="str">
        <f t="shared" si="39"/>
        <v/>
      </c>
      <c r="BF59" s="602"/>
      <c r="BG59" s="113" t="str">
        <f t="shared" si="40"/>
        <v/>
      </c>
      <c r="BH59" s="113" t="str">
        <f t="shared" si="41"/>
        <v/>
      </c>
      <c r="BI59" s="113" t="str">
        <f t="shared" si="42"/>
        <v/>
      </c>
      <c r="BJ59" s="281" t="str" cm="1">
        <f t="array" ref="BJ59">IF($AH59="","",
_xlfn.IFS(
$BE59="Devis 1",
IF(ISBLANK(AR59),"",IFERROR(VALUE(TRIM(SUBSTITUTE(AR59,CHAR(160),""))),0)*IFERROR(VALUE(TRIM(SUBSTITUTE($AH59,CHAR(160),""))),0)),
$BE59="Devis 2",
IF(ISBLANK(AW59),"",IFERROR(VALUE(TRIM(SUBSTITUTE(AW59,CHAR(160),""))),0)*IFERROR(VALUE(TRIM(SUBSTITUTE($AH59,CHAR(160),""))),0)),
$BE59="Devis 3",
IF(ISBLANK(BB59),"",IFERROR(VALUE(TRIM(SUBSTITUTE(BB59,CHAR(160),""))),0)*IFERROR(VALUE(TRIM(SUBSTITUTE($AH59,CHAR(160),""))),0)),
TRUE,0
)
)</f>
        <v/>
      </c>
      <c r="BK59" s="281" t="str" cm="1">
        <f t="array" ref="BK59">IF($AH59="","",
_xlfn.IFS(
$BE59="Devis 1",
IF(ISBLANK(AS59),"",IFERROR(VALUE(TRIM(SUBSTITUTE(AS59,CHAR(160),""))),0)*IFERROR(VALUE(TRIM(SUBSTITUTE($AH59,CHAR(160),""))),0)),
$BE59="Devis 2",
IF(ISBLANK(AX59),"",IFERROR(VALUE(TRIM(SUBSTITUTE(AX59,CHAR(160),""))),0)*IFERROR(VALUE(TRIM(SUBSTITUTE($AH59,CHAR(160),""))),0)),
$BE59="Devis 3",
IF(ISBLANK(BC59),"",IFERROR(VALUE(TRIM(SUBSTITUTE(BC59,CHAR(160),""))),0)*IFERROR(VALUE(TRIM(SUBSTITUTE($AH59,CHAR(160),""))),0)),
TRUE,0
)
)</f>
        <v/>
      </c>
      <c r="BL59" s="281" t="str">
        <f t="shared" si="43"/>
        <v/>
      </c>
      <c r="BM59" s="602"/>
      <c r="BN59" s="23" t="str" cm="1">
        <f t="array" ref="BN59">IF(OR(BL59="",BI59="",BJ59="",BG59="",BK59="",BH59=""),"",_xlfn.IFS(
ROUND(IFERROR(VALUE(TRIM(SUBSTITUTE(BL59,CHAR(160),""))),0),2)&gt;
ROUND(IFERROR(VALUE(TRIM(SUBSTITUTE(BI59,CHAR(160),""))),0),2),
"KO : Le montant retenu TTC est supérieur au montant raisonnable TTC. Merci de revoir la ligne de dépense ou plafonner son montant.",
ROUND(IFERROR(VALUE(TRIM(SUBSTITUTE(BJ59,CHAR(160),""))),0),2)&gt;
ROUND(IFERROR(VALUE(TRIM(SUBSTITUTE(BG59,CHAR(160),""))),0),2),
"Attention : Le montant retenu HT est supérieur au montant HT raisonnable. Merci de revoir la ligne de dépense, plafonner son montant, ou justifier la reventillation HT / TVA.",
ROUND(IFERROR(VALUE(TRIM(SUBSTITUTE(BK59,CHAR(160),""))),0),2)&gt;
ROUND(IFERROR(VALUE(TRIM(SUBSTITUTE(BH59,CHAR(160),""))),0),2),
"Attention : Le montant TVA retenu est supérieur au montant TVA raisonnable. Merci de revoir la ligne de dépense, plafonner son montant, ou justifier la reventillation HT / TVA.",
ROUND(IFERROR(VALUE(TRIM(SUBSTITUTE(BL59,CHAR(160),""))),0),2)&gt;
ROUND(IFERROR(VALUE(TRIM(SUBSTITUTE(MIN(P59,U59,Z59),CHAR(160),""))),0),2),
"Attention : Le devis retenu n'est pas le moins cher. Une justification de la part du porteur est nécessaire.",
ROUND(IFERROR(VALUE(TRIM(SUBSTITUTE(BL59,CHAR(160),""))),0),2)=0,
"Attention : montant présenté entièrement écarté",
ROUND(IFERROR(VALUE(TRIM(SUBSTITUTE(BI59,CHAR(160),""))),0),2)=
ROUND(IFERROR(VALUE(TRIM(SUBSTITUTE(BL59,CHAR(160),""))),0),2),
"OK",
ROUND(IFERROR(VALUE(TRIM(SUBSTITUTE(BI59,CHAR(160),""))),0),2)&gt;
ROUND(IFERROR(VALUE(TRIM(SUBSTITUTE(BL59,CHAR(160),""))),0),2),
" OK : Montant instruit inférieur au montant raisonnable.",
TRUE,""
))</f>
        <v/>
      </c>
      <c r="BO59" s="23" t="str" cm="1">
        <f t="array" ref="BO59">IF(OR(BL59="",AD59="",BJ59="",AB59="",BK59="",AC59=""),"",_xlfn.IFS(
ROUND(IFERROR(VALUE(TRIM(SUBSTITUTE(BL59,CHAR(160),""))),0),2)&gt;
ROUND(IFERROR(VALUE(TRIM(SUBSTITUTE(AD59,CHAR(160),""))),0),2),
"KO : Le montant retenu TTC est supérieur au montant présenté TTC. Merci de revoir la ligne de dépense ou plafonner son montant.",
ROUND(IFERROR(VALUE(TRIM(SUBSTITUTE(BJ59,CHAR(160),""))),0),2)&gt;
ROUND(IFERROR(VALUE(TRIM(SUBSTITUTE(AB59,CHAR(160),""))),0),2),
"Attention : Le montant retenu HT est supérieur au montant HT présenté. Merci de revoir la ligne de dépense, plafonner son montant, ou justifier la reventillation HT / TVA.",
ROUND(IFERROR(VALUE(TRIM(SUBSTITUTE(BK59,CHAR(160),""))),0),2)&gt;
ROUND(IFERROR(VALUE(TRIM(SUBSTITUTE(AC59,CHAR(160),""))),0),2),
"Attention : Le montant TVA retenu est supérieur au montant TVA présenté. Merci de revoir la ligne de dépense, plafonner son montant, ou justifier la reventillation HT / TVA.",
ROUND(IFERROR(VALUE(TRIM(SUBSTITUTE(AD59,CHAR(160),""))),0),2)=0,
"",
ROUND(IFERROR(VALUE(TRIM(SUBSTITUTE(BL59,CHAR(160),""))),0),2)=
ROUND(IFERROR(VALUE(TRIM(SUBSTITUTE(AD59,CHAR(160),""))),0),2),
"OK",
ROUND(IFERROR(VALUE(TRIM(SUBSTITUTE(BL59,CHAR(160),""))),0),2)=0,
"Attention : Montant présenté entièrement rejeté.",
ROUND(IFERROR(VALUE(TRIM(SUBSTITUTE(BL59,CHAR(160),""))),0),2)&lt;
ROUND(IFERROR(VALUE(TRIM(SUBSTITUTE(AD59,CHAR(160),""))),0),2),
"Attention : Montant présenté partiellement rejeté.",
TRUE,""
))</f>
        <v/>
      </c>
      <c r="BP59" s="113" t="str">
        <f t="shared" si="44"/>
        <v/>
      </c>
      <c r="BQ59" s="113" t="str">
        <f t="shared" si="45"/>
        <v/>
      </c>
      <c r="BR59" s="33" t="str">
        <f t="shared" si="46"/>
        <v/>
      </c>
    </row>
    <row r="60" spans="1:70" ht="15" customHeight="1">
      <c r="A60" s="193">
        <v>52</v>
      </c>
      <c r="B60" s="7"/>
      <c r="C60" s="7"/>
      <c r="D60" s="19"/>
      <c r="E60" s="7"/>
      <c r="F60" s="7"/>
      <c r="G60" s="7"/>
      <c r="H60" s="7"/>
      <c r="I60" s="28"/>
      <c r="J60" s="7"/>
      <c r="K60" s="29"/>
      <c r="L60" s="678"/>
      <c r="M60" s="7"/>
      <c r="N60" s="672"/>
      <c r="O60" s="11"/>
      <c r="P60" s="107" t="str">
        <f t="shared" si="48"/>
        <v/>
      </c>
      <c r="Q60" s="699"/>
      <c r="R60" s="702"/>
      <c r="S60" s="684"/>
      <c r="T60" s="11"/>
      <c r="U60" s="107" t="str">
        <f t="shared" si="49"/>
        <v/>
      </c>
      <c r="V60" s="695"/>
      <c r="W60" s="685"/>
      <c r="X60" s="707"/>
      <c r="Y60" s="684"/>
      <c r="Z60" s="108" t="str">
        <f t="shared" si="50"/>
        <v/>
      </c>
      <c r="AA60" s="25"/>
      <c r="AB60" s="287" t="str" cm="1">
        <f t="array" ref="AB60">IF((_xlfn.IFS(TRIM(SUBSTITUTE(AA60,CHAR(160),""))="Devis 1",IFERROR(VALUE(TRIM(SUBSTITUTE(N60,CHAR(160),""))),0),TRIM(SUBSTITUTE(AA60,CHAR(160),""))="Devis 2",IFERROR(VALUE(TRIM(SUBSTITUTE(S60,CHAR(160),""))),0),TRIM(SUBSTITUTE(AA60,CHAR(160),""))="Devis 3",IFERROR(VALUE(TRIM(SUBSTITUTE(X60,CHAR(160),""))),0),TRUE,0)*IFERROR(VALUE(TRIM(SUBSTITUTE(D60,CHAR(160),""))),0))=0,"",_xlfn.IFS(TRIM(SUBSTITUTE(AA60,CHAR(160),""))="Devis 1",IFERROR(VALUE(TRIM(SUBSTITUTE(N60,CHAR(160),""))),0),TRIM(SUBSTITUTE(AA60,CHAR(160),""))="Devis 2",IFERROR(VALUE(TRIM(SUBSTITUTE(S60,CHAR(160),""))),0),TRIM(SUBSTITUTE(AA60,CHAR(160),""))="Devis 3",IFERROR(VALUE(TRIM(SUBSTITUTE(X60,CHAR(160),""))),0),TRUE,0)*IFERROR(VALUE(TRIM(SUBSTITUTE(D60,CHAR(160),""))),0))</f>
        <v/>
      </c>
      <c r="AC60" s="275" t="str" cm="1">
        <f t="array" ref="AC60">IF(_xlfn.IFS(TRIM(SUBSTITUTE(AA60,CHAR(160),""))="Devis 1",IFERROR(VALUE(TRIM(SUBSTITUTE(O60,CHAR(160),""))),0),TRIM(SUBSTITUTE(AA60,CHAR(160),""))="Devis 2",IFERROR(VALUE(TRIM(SUBSTITUTE(T60,CHAR(160),""))),0),TRIM(SUBSTITUTE(AA60,CHAR(160),""))="Devis 3",IFERROR(VALUE(TRIM(SUBSTITUTE(Y60,CHAR(160),""))),0),TRUE,0)*IFERROR(VALUE(TRIM(SUBSTITUTE(D60,CHAR(160),""))),0)=0,IF(AB60&lt;&gt;"",0,""),_xlfn.IFS(TRIM(SUBSTITUTE(AA60,CHAR(160),""))="Devis 1",IFERROR(VALUE(TRIM(SUBSTITUTE(O60,CHAR(160),""))),0),TRIM(SUBSTITUTE(AA60,CHAR(160),""))="Devis 2",IFERROR(VALUE(TRIM(SUBSTITUTE(T60,CHAR(160),""))),0),TRIM(SUBSTITUTE(AA60,CHAR(160),""))="Devis 3",IFERROR(VALUE(TRIM(SUBSTITUTE(Y60,CHAR(160),""))),0),TRUE,0)*IFERROR(VALUE(TRIM(SUBSTITUTE(D60,CHAR(160),""))),0))</f>
        <v/>
      </c>
      <c r="AD60" s="285" t="str">
        <f t="shared" si="51"/>
        <v/>
      </c>
      <c r="AE60" s="26"/>
      <c r="AF60" s="109" t="str">
        <f t="shared" si="14"/>
        <v/>
      </c>
      <c r="AG60" s="109" t="str">
        <f t="shared" si="15"/>
        <v/>
      </c>
      <c r="AH60" s="885" t="str">
        <f t="shared" si="16"/>
        <v/>
      </c>
      <c r="AI60" s="109" t="str">
        <f t="shared" si="17"/>
        <v/>
      </c>
      <c r="AJ60" s="109" t="str">
        <f t="shared" si="18"/>
        <v/>
      </c>
      <c r="AK60" s="109" t="str">
        <f t="shared" si="19"/>
        <v/>
      </c>
      <c r="AL60" s="109" t="str">
        <f t="shared" si="20"/>
        <v/>
      </c>
      <c r="AM60" s="109" t="str">
        <f t="shared" si="21"/>
        <v/>
      </c>
      <c r="AN60" s="109" t="str">
        <f t="shared" si="22"/>
        <v/>
      </c>
      <c r="AO60" s="109" t="str">
        <f t="shared" si="23"/>
        <v/>
      </c>
      <c r="AP60" s="754" t="str">
        <f t="shared" si="24"/>
        <v/>
      </c>
      <c r="AQ60" s="755" t="str">
        <f t="shared" si="25"/>
        <v/>
      </c>
      <c r="AR60" s="195" t="str">
        <f t="shared" si="26"/>
        <v/>
      </c>
      <c r="AS60" s="195" t="str">
        <f t="shared" si="27"/>
        <v/>
      </c>
      <c r="AT60" s="664" t="str">
        <f t="shared" si="28"/>
        <v/>
      </c>
      <c r="AU60" s="756" t="str">
        <f t="shared" si="29"/>
        <v/>
      </c>
      <c r="AV60" s="195" t="str">
        <f t="shared" si="30"/>
        <v/>
      </c>
      <c r="AW60" s="195" t="str">
        <f t="shared" si="31"/>
        <v/>
      </c>
      <c r="AX60" s="195" t="str">
        <f t="shared" si="32"/>
        <v/>
      </c>
      <c r="AY60" s="728" t="str">
        <f t="shared" si="33"/>
        <v/>
      </c>
      <c r="AZ60" s="195" t="str">
        <f t="shared" si="34"/>
        <v/>
      </c>
      <c r="BA60" s="195" t="str">
        <f t="shared" si="35"/>
        <v/>
      </c>
      <c r="BB60" s="195" t="str">
        <f t="shared" si="36"/>
        <v/>
      </c>
      <c r="BC60" s="195" t="str">
        <f t="shared" si="37"/>
        <v/>
      </c>
      <c r="BD60" s="112" t="str">
        <f t="shared" si="38"/>
        <v/>
      </c>
      <c r="BE60" s="109" t="str">
        <f t="shared" si="39"/>
        <v/>
      </c>
      <c r="BF60" s="602"/>
      <c r="BG60" s="113" t="str">
        <f t="shared" si="40"/>
        <v/>
      </c>
      <c r="BH60" s="113" t="str">
        <f t="shared" si="41"/>
        <v/>
      </c>
      <c r="BI60" s="113" t="str">
        <f t="shared" si="42"/>
        <v/>
      </c>
      <c r="BJ60" s="281" t="str" cm="1">
        <f t="array" ref="BJ60">IF($AH60="","",
_xlfn.IFS(
$BE60="Devis 1",
IF(ISBLANK(AR60),"",IFERROR(VALUE(TRIM(SUBSTITUTE(AR60,CHAR(160),""))),0)*IFERROR(VALUE(TRIM(SUBSTITUTE($AH60,CHAR(160),""))),0)),
$BE60="Devis 2",
IF(ISBLANK(AW60),"",IFERROR(VALUE(TRIM(SUBSTITUTE(AW60,CHAR(160),""))),0)*IFERROR(VALUE(TRIM(SUBSTITUTE($AH60,CHAR(160),""))),0)),
$BE60="Devis 3",
IF(ISBLANK(BB60),"",IFERROR(VALUE(TRIM(SUBSTITUTE(BB60,CHAR(160),""))),0)*IFERROR(VALUE(TRIM(SUBSTITUTE($AH60,CHAR(160),""))),0)),
TRUE,0
)
)</f>
        <v/>
      </c>
      <c r="BK60" s="281" t="str" cm="1">
        <f t="array" ref="BK60">IF($AH60="","",
_xlfn.IFS(
$BE60="Devis 1",
IF(ISBLANK(AS60),"",IFERROR(VALUE(TRIM(SUBSTITUTE(AS60,CHAR(160),""))),0)*IFERROR(VALUE(TRIM(SUBSTITUTE($AH60,CHAR(160),""))),0)),
$BE60="Devis 2",
IF(ISBLANK(AX60),"",IFERROR(VALUE(TRIM(SUBSTITUTE(AX60,CHAR(160),""))),0)*IFERROR(VALUE(TRIM(SUBSTITUTE($AH60,CHAR(160),""))),0)),
$BE60="Devis 3",
IF(ISBLANK(BC60),"",IFERROR(VALUE(TRIM(SUBSTITUTE(BC60,CHAR(160),""))),0)*IFERROR(VALUE(TRIM(SUBSTITUTE($AH60,CHAR(160),""))),0)),
TRUE,0
)
)</f>
        <v/>
      </c>
      <c r="BL60" s="281" t="str">
        <f t="shared" si="43"/>
        <v/>
      </c>
      <c r="BM60" s="602"/>
      <c r="BN60" s="23" t="str" cm="1">
        <f t="array" ref="BN60">IF(OR(BL60="",BI60="",BJ60="",BG60="",BK60="",BH60=""),"",_xlfn.IFS(
ROUND(IFERROR(VALUE(TRIM(SUBSTITUTE(BL60,CHAR(160),""))),0),2)&gt;
ROUND(IFERROR(VALUE(TRIM(SUBSTITUTE(BI60,CHAR(160),""))),0),2),
"KO : Le montant retenu TTC est supérieur au montant raisonnable TTC. Merci de revoir la ligne de dépense ou plafonner son montant.",
ROUND(IFERROR(VALUE(TRIM(SUBSTITUTE(BJ60,CHAR(160),""))),0),2)&gt;
ROUND(IFERROR(VALUE(TRIM(SUBSTITUTE(BG60,CHAR(160),""))),0),2),
"Attention : Le montant retenu HT est supérieur au montant HT raisonnable. Merci de revoir la ligne de dépense, plafonner son montant, ou justifier la reventillation HT / TVA.",
ROUND(IFERROR(VALUE(TRIM(SUBSTITUTE(BK60,CHAR(160),""))),0),2)&gt;
ROUND(IFERROR(VALUE(TRIM(SUBSTITUTE(BH60,CHAR(160),""))),0),2),
"Attention : Le montant TVA retenu est supérieur au montant TVA raisonnable. Merci de revoir la ligne de dépense, plafonner son montant, ou justifier la reventillation HT / TVA.",
ROUND(IFERROR(VALUE(TRIM(SUBSTITUTE(BL60,CHAR(160),""))),0),2)&gt;
ROUND(IFERROR(VALUE(TRIM(SUBSTITUTE(MIN(P60,U60,Z60),CHAR(160),""))),0),2),
"Attention : Le devis retenu n'est pas le moins cher. Une justification de la part du porteur est nécessaire.",
ROUND(IFERROR(VALUE(TRIM(SUBSTITUTE(BL60,CHAR(160),""))),0),2)=0,
"Attention : montant présenté entièrement écarté",
ROUND(IFERROR(VALUE(TRIM(SUBSTITUTE(BI60,CHAR(160),""))),0),2)=
ROUND(IFERROR(VALUE(TRIM(SUBSTITUTE(BL60,CHAR(160),""))),0),2),
"OK",
ROUND(IFERROR(VALUE(TRIM(SUBSTITUTE(BI60,CHAR(160),""))),0),2)&gt;
ROUND(IFERROR(VALUE(TRIM(SUBSTITUTE(BL60,CHAR(160),""))),0),2),
" OK : Montant instruit inférieur au montant raisonnable.",
TRUE,""
))</f>
        <v/>
      </c>
      <c r="BO60" s="23" t="str" cm="1">
        <f t="array" ref="BO60">IF(OR(BL60="",AD60="",BJ60="",AB60="",BK60="",AC60=""),"",_xlfn.IFS(
ROUND(IFERROR(VALUE(TRIM(SUBSTITUTE(BL60,CHAR(160),""))),0),2)&gt;
ROUND(IFERROR(VALUE(TRIM(SUBSTITUTE(AD60,CHAR(160),""))),0),2),
"KO : Le montant retenu TTC est supérieur au montant présenté TTC. Merci de revoir la ligne de dépense ou plafonner son montant.",
ROUND(IFERROR(VALUE(TRIM(SUBSTITUTE(BJ60,CHAR(160),""))),0),2)&gt;
ROUND(IFERROR(VALUE(TRIM(SUBSTITUTE(AB60,CHAR(160),""))),0),2),
"Attention : Le montant retenu HT est supérieur au montant HT présenté. Merci de revoir la ligne de dépense, plafonner son montant, ou justifier la reventillation HT / TVA.",
ROUND(IFERROR(VALUE(TRIM(SUBSTITUTE(BK60,CHAR(160),""))),0),2)&gt;
ROUND(IFERROR(VALUE(TRIM(SUBSTITUTE(AC60,CHAR(160),""))),0),2),
"Attention : Le montant TVA retenu est supérieur au montant TVA présenté. Merci de revoir la ligne de dépense, plafonner son montant, ou justifier la reventillation HT / TVA.",
ROUND(IFERROR(VALUE(TRIM(SUBSTITUTE(AD60,CHAR(160),""))),0),2)=0,
"",
ROUND(IFERROR(VALUE(TRIM(SUBSTITUTE(BL60,CHAR(160),""))),0),2)=
ROUND(IFERROR(VALUE(TRIM(SUBSTITUTE(AD60,CHAR(160),""))),0),2),
"OK",
ROUND(IFERROR(VALUE(TRIM(SUBSTITUTE(BL60,CHAR(160),""))),0),2)=0,
"Attention : Montant présenté entièrement rejeté.",
ROUND(IFERROR(VALUE(TRIM(SUBSTITUTE(BL60,CHAR(160),""))),0),2)&lt;
ROUND(IFERROR(VALUE(TRIM(SUBSTITUTE(AD60,CHAR(160),""))),0),2),
"Attention : Montant présenté partiellement rejeté.",
TRUE,""
))</f>
        <v/>
      </c>
      <c r="BP60" s="113" t="str">
        <f t="shared" si="44"/>
        <v/>
      </c>
      <c r="BQ60" s="113" t="str">
        <f t="shared" si="45"/>
        <v/>
      </c>
      <c r="BR60" s="33" t="str">
        <f t="shared" si="46"/>
        <v/>
      </c>
    </row>
    <row r="61" spans="1:70" ht="15" customHeight="1">
      <c r="A61" s="193">
        <v>53</v>
      </c>
      <c r="B61" s="7"/>
      <c r="C61" s="7"/>
      <c r="D61" s="19"/>
      <c r="E61" s="7"/>
      <c r="F61" s="7"/>
      <c r="G61" s="7"/>
      <c r="H61" s="7"/>
      <c r="I61" s="28"/>
      <c r="J61" s="7"/>
      <c r="K61" s="29"/>
      <c r="L61" s="678"/>
      <c r="M61" s="7"/>
      <c r="N61" s="672"/>
      <c r="O61" s="11"/>
      <c r="P61" s="107" t="str">
        <f t="shared" si="48"/>
        <v/>
      </c>
      <c r="Q61" s="699"/>
      <c r="R61" s="702"/>
      <c r="S61" s="684"/>
      <c r="T61" s="11"/>
      <c r="U61" s="107" t="str">
        <f t="shared" si="49"/>
        <v/>
      </c>
      <c r="V61" s="695"/>
      <c r="W61" s="685"/>
      <c r="X61" s="707"/>
      <c r="Y61" s="684"/>
      <c r="Z61" s="108" t="str">
        <f t="shared" si="50"/>
        <v/>
      </c>
      <c r="AA61" s="25"/>
      <c r="AB61" s="287" t="str" cm="1">
        <f t="array" ref="AB61">IF((_xlfn.IFS(TRIM(SUBSTITUTE(AA61,CHAR(160),""))="Devis 1",IFERROR(VALUE(TRIM(SUBSTITUTE(N61,CHAR(160),""))),0),TRIM(SUBSTITUTE(AA61,CHAR(160),""))="Devis 2",IFERROR(VALUE(TRIM(SUBSTITUTE(S61,CHAR(160),""))),0),TRIM(SUBSTITUTE(AA61,CHAR(160),""))="Devis 3",IFERROR(VALUE(TRIM(SUBSTITUTE(X61,CHAR(160),""))),0),TRUE,0)*IFERROR(VALUE(TRIM(SUBSTITUTE(D61,CHAR(160),""))),0))=0,"",_xlfn.IFS(TRIM(SUBSTITUTE(AA61,CHAR(160),""))="Devis 1",IFERROR(VALUE(TRIM(SUBSTITUTE(N61,CHAR(160),""))),0),TRIM(SUBSTITUTE(AA61,CHAR(160),""))="Devis 2",IFERROR(VALUE(TRIM(SUBSTITUTE(S61,CHAR(160),""))),0),TRIM(SUBSTITUTE(AA61,CHAR(160),""))="Devis 3",IFERROR(VALUE(TRIM(SUBSTITUTE(X61,CHAR(160),""))),0),TRUE,0)*IFERROR(VALUE(TRIM(SUBSTITUTE(D61,CHAR(160),""))),0))</f>
        <v/>
      </c>
      <c r="AC61" s="275" t="str" cm="1">
        <f t="array" ref="AC61">IF(_xlfn.IFS(TRIM(SUBSTITUTE(AA61,CHAR(160),""))="Devis 1",IFERROR(VALUE(TRIM(SUBSTITUTE(O61,CHAR(160),""))),0),TRIM(SUBSTITUTE(AA61,CHAR(160),""))="Devis 2",IFERROR(VALUE(TRIM(SUBSTITUTE(T61,CHAR(160),""))),0),TRIM(SUBSTITUTE(AA61,CHAR(160),""))="Devis 3",IFERROR(VALUE(TRIM(SUBSTITUTE(Y61,CHAR(160),""))),0),TRUE,0)*IFERROR(VALUE(TRIM(SUBSTITUTE(D61,CHAR(160),""))),0)=0,IF(AB61&lt;&gt;"",0,""),_xlfn.IFS(TRIM(SUBSTITUTE(AA61,CHAR(160),""))="Devis 1",IFERROR(VALUE(TRIM(SUBSTITUTE(O61,CHAR(160),""))),0),TRIM(SUBSTITUTE(AA61,CHAR(160),""))="Devis 2",IFERROR(VALUE(TRIM(SUBSTITUTE(T61,CHAR(160),""))),0),TRIM(SUBSTITUTE(AA61,CHAR(160),""))="Devis 3",IFERROR(VALUE(TRIM(SUBSTITUTE(Y61,CHAR(160),""))),0),TRUE,0)*IFERROR(VALUE(TRIM(SUBSTITUTE(D61,CHAR(160),""))),0))</f>
        <v/>
      </c>
      <c r="AD61" s="285" t="str">
        <f t="shared" si="51"/>
        <v/>
      </c>
      <c r="AE61" s="26"/>
      <c r="AF61" s="109" t="str">
        <f t="shared" si="14"/>
        <v/>
      </c>
      <c r="AG61" s="109" t="str">
        <f t="shared" si="15"/>
        <v/>
      </c>
      <c r="AH61" s="885" t="str">
        <f t="shared" si="16"/>
        <v/>
      </c>
      <c r="AI61" s="109" t="str">
        <f t="shared" si="17"/>
        <v/>
      </c>
      <c r="AJ61" s="109" t="str">
        <f t="shared" si="18"/>
        <v/>
      </c>
      <c r="AK61" s="109" t="str">
        <f t="shared" si="19"/>
        <v/>
      </c>
      <c r="AL61" s="109" t="str">
        <f t="shared" si="20"/>
        <v/>
      </c>
      <c r="AM61" s="109" t="str">
        <f t="shared" si="21"/>
        <v/>
      </c>
      <c r="AN61" s="109" t="str">
        <f t="shared" si="22"/>
        <v/>
      </c>
      <c r="AO61" s="109" t="str">
        <f t="shared" si="23"/>
        <v/>
      </c>
      <c r="AP61" s="754" t="str">
        <f t="shared" si="24"/>
        <v/>
      </c>
      <c r="AQ61" s="755" t="str">
        <f t="shared" si="25"/>
        <v/>
      </c>
      <c r="AR61" s="195" t="str">
        <f t="shared" si="26"/>
        <v/>
      </c>
      <c r="AS61" s="195" t="str">
        <f t="shared" si="27"/>
        <v/>
      </c>
      <c r="AT61" s="664" t="str">
        <f t="shared" si="28"/>
        <v/>
      </c>
      <c r="AU61" s="756" t="str">
        <f t="shared" si="29"/>
        <v/>
      </c>
      <c r="AV61" s="195" t="str">
        <f t="shared" si="30"/>
        <v/>
      </c>
      <c r="AW61" s="195" t="str">
        <f t="shared" si="31"/>
        <v/>
      </c>
      <c r="AX61" s="195" t="str">
        <f t="shared" si="32"/>
        <v/>
      </c>
      <c r="AY61" s="728" t="str">
        <f t="shared" si="33"/>
        <v/>
      </c>
      <c r="AZ61" s="195" t="str">
        <f t="shared" si="34"/>
        <v/>
      </c>
      <c r="BA61" s="195" t="str">
        <f t="shared" si="35"/>
        <v/>
      </c>
      <c r="BB61" s="195" t="str">
        <f t="shared" si="36"/>
        <v/>
      </c>
      <c r="BC61" s="195" t="str">
        <f t="shared" si="37"/>
        <v/>
      </c>
      <c r="BD61" s="112" t="str">
        <f t="shared" si="38"/>
        <v/>
      </c>
      <c r="BE61" s="109" t="str">
        <f t="shared" si="39"/>
        <v/>
      </c>
      <c r="BF61" s="602"/>
      <c r="BG61" s="113" t="str">
        <f t="shared" si="40"/>
        <v/>
      </c>
      <c r="BH61" s="113" t="str">
        <f t="shared" si="41"/>
        <v/>
      </c>
      <c r="BI61" s="113" t="str">
        <f t="shared" si="42"/>
        <v/>
      </c>
      <c r="BJ61" s="281" t="str" cm="1">
        <f t="array" ref="BJ61">IF($AH61="","",
_xlfn.IFS(
$BE61="Devis 1",
IF(ISBLANK(AR61),"",IFERROR(VALUE(TRIM(SUBSTITUTE(AR61,CHAR(160),""))),0)*IFERROR(VALUE(TRIM(SUBSTITUTE($AH61,CHAR(160),""))),0)),
$BE61="Devis 2",
IF(ISBLANK(AW61),"",IFERROR(VALUE(TRIM(SUBSTITUTE(AW61,CHAR(160),""))),0)*IFERROR(VALUE(TRIM(SUBSTITUTE($AH61,CHAR(160),""))),0)),
$BE61="Devis 3",
IF(ISBLANK(BB61),"",IFERROR(VALUE(TRIM(SUBSTITUTE(BB61,CHAR(160),""))),0)*IFERROR(VALUE(TRIM(SUBSTITUTE($AH61,CHAR(160),""))),0)),
TRUE,0
)
)</f>
        <v/>
      </c>
      <c r="BK61" s="281" t="str" cm="1">
        <f t="array" ref="BK61">IF($AH61="","",
_xlfn.IFS(
$BE61="Devis 1",
IF(ISBLANK(AS61),"",IFERROR(VALUE(TRIM(SUBSTITUTE(AS61,CHAR(160),""))),0)*IFERROR(VALUE(TRIM(SUBSTITUTE($AH61,CHAR(160),""))),0)),
$BE61="Devis 2",
IF(ISBLANK(AX61),"",IFERROR(VALUE(TRIM(SUBSTITUTE(AX61,CHAR(160),""))),0)*IFERROR(VALUE(TRIM(SUBSTITUTE($AH61,CHAR(160),""))),0)),
$BE61="Devis 3",
IF(ISBLANK(BC61),"",IFERROR(VALUE(TRIM(SUBSTITUTE(BC61,CHAR(160),""))),0)*IFERROR(VALUE(TRIM(SUBSTITUTE($AH61,CHAR(160),""))),0)),
TRUE,0
)
)</f>
        <v/>
      </c>
      <c r="BL61" s="281" t="str">
        <f t="shared" si="43"/>
        <v/>
      </c>
      <c r="BM61" s="602"/>
      <c r="BN61" s="23" t="str" cm="1">
        <f t="array" ref="BN61">IF(OR(BL61="",BI61="",BJ61="",BG61="",BK61="",BH61=""),"",_xlfn.IFS(
ROUND(IFERROR(VALUE(TRIM(SUBSTITUTE(BL61,CHAR(160),""))),0),2)&gt;
ROUND(IFERROR(VALUE(TRIM(SUBSTITUTE(BI61,CHAR(160),""))),0),2),
"KO : Le montant retenu TTC est supérieur au montant raisonnable TTC. Merci de revoir la ligne de dépense ou plafonner son montant.",
ROUND(IFERROR(VALUE(TRIM(SUBSTITUTE(BJ61,CHAR(160),""))),0),2)&gt;
ROUND(IFERROR(VALUE(TRIM(SUBSTITUTE(BG61,CHAR(160),""))),0),2),
"Attention : Le montant retenu HT est supérieur au montant HT raisonnable. Merci de revoir la ligne de dépense, plafonner son montant, ou justifier la reventillation HT / TVA.",
ROUND(IFERROR(VALUE(TRIM(SUBSTITUTE(BK61,CHAR(160),""))),0),2)&gt;
ROUND(IFERROR(VALUE(TRIM(SUBSTITUTE(BH61,CHAR(160),""))),0),2),
"Attention : Le montant TVA retenu est supérieur au montant TVA raisonnable. Merci de revoir la ligne de dépense, plafonner son montant, ou justifier la reventillation HT / TVA.",
ROUND(IFERROR(VALUE(TRIM(SUBSTITUTE(BL61,CHAR(160),""))),0),2)&gt;
ROUND(IFERROR(VALUE(TRIM(SUBSTITUTE(MIN(P61,U61,Z61),CHAR(160),""))),0),2),
"Attention : Le devis retenu n'est pas le moins cher. Une justification de la part du porteur est nécessaire.",
ROUND(IFERROR(VALUE(TRIM(SUBSTITUTE(BL61,CHAR(160),""))),0),2)=0,
"Attention : montant présenté entièrement écarté",
ROUND(IFERROR(VALUE(TRIM(SUBSTITUTE(BI61,CHAR(160),""))),0),2)=
ROUND(IFERROR(VALUE(TRIM(SUBSTITUTE(BL61,CHAR(160),""))),0),2),
"OK",
ROUND(IFERROR(VALUE(TRIM(SUBSTITUTE(BI61,CHAR(160),""))),0),2)&gt;
ROUND(IFERROR(VALUE(TRIM(SUBSTITUTE(BL61,CHAR(160),""))),0),2),
" OK : Montant instruit inférieur au montant raisonnable.",
TRUE,""
))</f>
        <v/>
      </c>
      <c r="BO61" s="23" t="str" cm="1">
        <f t="array" ref="BO61">IF(OR(BL61="",AD61="",BJ61="",AB61="",BK61="",AC61=""),"",_xlfn.IFS(
ROUND(IFERROR(VALUE(TRIM(SUBSTITUTE(BL61,CHAR(160),""))),0),2)&gt;
ROUND(IFERROR(VALUE(TRIM(SUBSTITUTE(AD61,CHAR(160),""))),0),2),
"KO : Le montant retenu TTC est supérieur au montant présenté TTC. Merci de revoir la ligne de dépense ou plafonner son montant.",
ROUND(IFERROR(VALUE(TRIM(SUBSTITUTE(BJ61,CHAR(160),""))),0),2)&gt;
ROUND(IFERROR(VALUE(TRIM(SUBSTITUTE(AB61,CHAR(160),""))),0),2),
"Attention : Le montant retenu HT est supérieur au montant HT présenté. Merci de revoir la ligne de dépense, plafonner son montant, ou justifier la reventillation HT / TVA.",
ROUND(IFERROR(VALUE(TRIM(SUBSTITUTE(BK61,CHAR(160),""))),0),2)&gt;
ROUND(IFERROR(VALUE(TRIM(SUBSTITUTE(AC61,CHAR(160),""))),0),2),
"Attention : Le montant TVA retenu est supérieur au montant TVA présenté. Merci de revoir la ligne de dépense, plafonner son montant, ou justifier la reventillation HT / TVA.",
ROUND(IFERROR(VALUE(TRIM(SUBSTITUTE(AD61,CHAR(160),""))),0),2)=0,
"",
ROUND(IFERROR(VALUE(TRIM(SUBSTITUTE(BL61,CHAR(160),""))),0),2)=
ROUND(IFERROR(VALUE(TRIM(SUBSTITUTE(AD61,CHAR(160),""))),0),2),
"OK",
ROUND(IFERROR(VALUE(TRIM(SUBSTITUTE(BL61,CHAR(160),""))),0),2)=0,
"Attention : Montant présenté entièrement rejeté.",
ROUND(IFERROR(VALUE(TRIM(SUBSTITUTE(BL61,CHAR(160),""))),0),2)&lt;
ROUND(IFERROR(VALUE(TRIM(SUBSTITUTE(AD61,CHAR(160),""))),0),2),
"Attention : Montant présenté partiellement rejeté.",
TRUE,""
))</f>
        <v/>
      </c>
      <c r="BP61" s="113" t="str">
        <f t="shared" si="44"/>
        <v/>
      </c>
      <c r="BQ61" s="113" t="str">
        <f t="shared" si="45"/>
        <v/>
      </c>
      <c r="BR61" s="33" t="str">
        <f t="shared" si="46"/>
        <v/>
      </c>
    </row>
    <row r="62" spans="1:70" ht="15" customHeight="1">
      <c r="A62" s="193">
        <v>54</v>
      </c>
      <c r="B62" s="7"/>
      <c r="C62" s="7"/>
      <c r="D62" s="19"/>
      <c r="E62" s="7"/>
      <c r="F62" s="7"/>
      <c r="G62" s="7"/>
      <c r="H62" s="7"/>
      <c r="I62" s="28"/>
      <c r="J62" s="7"/>
      <c r="K62" s="29"/>
      <c r="L62" s="678"/>
      <c r="M62" s="7"/>
      <c r="N62" s="672"/>
      <c r="O62" s="11"/>
      <c r="P62" s="107" t="str">
        <f t="shared" si="48"/>
        <v/>
      </c>
      <c r="Q62" s="699"/>
      <c r="R62" s="702"/>
      <c r="S62" s="684"/>
      <c r="T62" s="11"/>
      <c r="U62" s="107" t="str">
        <f t="shared" si="49"/>
        <v/>
      </c>
      <c r="V62" s="695"/>
      <c r="W62" s="685"/>
      <c r="X62" s="707"/>
      <c r="Y62" s="684"/>
      <c r="Z62" s="108" t="str">
        <f t="shared" si="50"/>
        <v/>
      </c>
      <c r="AA62" s="25"/>
      <c r="AB62" s="287" t="str" cm="1">
        <f t="array" ref="AB62">IF((_xlfn.IFS(TRIM(SUBSTITUTE(AA62,CHAR(160),""))="Devis 1",IFERROR(VALUE(TRIM(SUBSTITUTE(N62,CHAR(160),""))),0),TRIM(SUBSTITUTE(AA62,CHAR(160),""))="Devis 2",IFERROR(VALUE(TRIM(SUBSTITUTE(S62,CHAR(160),""))),0),TRIM(SUBSTITUTE(AA62,CHAR(160),""))="Devis 3",IFERROR(VALUE(TRIM(SUBSTITUTE(X62,CHAR(160),""))),0),TRUE,0)*IFERROR(VALUE(TRIM(SUBSTITUTE(D62,CHAR(160),""))),0))=0,"",_xlfn.IFS(TRIM(SUBSTITUTE(AA62,CHAR(160),""))="Devis 1",IFERROR(VALUE(TRIM(SUBSTITUTE(N62,CHAR(160),""))),0),TRIM(SUBSTITUTE(AA62,CHAR(160),""))="Devis 2",IFERROR(VALUE(TRIM(SUBSTITUTE(S62,CHAR(160),""))),0),TRIM(SUBSTITUTE(AA62,CHAR(160),""))="Devis 3",IFERROR(VALUE(TRIM(SUBSTITUTE(X62,CHAR(160),""))),0),TRUE,0)*IFERROR(VALUE(TRIM(SUBSTITUTE(D62,CHAR(160),""))),0))</f>
        <v/>
      </c>
      <c r="AC62" s="275" t="str" cm="1">
        <f t="array" ref="AC62">IF(_xlfn.IFS(TRIM(SUBSTITUTE(AA62,CHAR(160),""))="Devis 1",IFERROR(VALUE(TRIM(SUBSTITUTE(O62,CHAR(160),""))),0),TRIM(SUBSTITUTE(AA62,CHAR(160),""))="Devis 2",IFERROR(VALUE(TRIM(SUBSTITUTE(T62,CHAR(160),""))),0),TRIM(SUBSTITUTE(AA62,CHAR(160),""))="Devis 3",IFERROR(VALUE(TRIM(SUBSTITUTE(Y62,CHAR(160),""))),0),TRUE,0)*IFERROR(VALUE(TRIM(SUBSTITUTE(D62,CHAR(160),""))),0)=0,IF(AB62&lt;&gt;"",0,""),_xlfn.IFS(TRIM(SUBSTITUTE(AA62,CHAR(160),""))="Devis 1",IFERROR(VALUE(TRIM(SUBSTITUTE(O62,CHAR(160),""))),0),TRIM(SUBSTITUTE(AA62,CHAR(160),""))="Devis 2",IFERROR(VALUE(TRIM(SUBSTITUTE(T62,CHAR(160),""))),0),TRIM(SUBSTITUTE(AA62,CHAR(160),""))="Devis 3",IFERROR(VALUE(TRIM(SUBSTITUTE(Y62,CHAR(160),""))),0),TRUE,0)*IFERROR(VALUE(TRIM(SUBSTITUTE(D62,CHAR(160),""))),0))</f>
        <v/>
      </c>
      <c r="AD62" s="285" t="str">
        <f t="shared" si="51"/>
        <v/>
      </c>
      <c r="AE62" s="26"/>
      <c r="AF62" s="109" t="str">
        <f t="shared" si="14"/>
        <v/>
      </c>
      <c r="AG62" s="109" t="str">
        <f t="shared" si="15"/>
        <v/>
      </c>
      <c r="AH62" s="885" t="str">
        <f t="shared" si="16"/>
        <v/>
      </c>
      <c r="AI62" s="109" t="str">
        <f t="shared" si="17"/>
        <v/>
      </c>
      <c r="AJ62" s="109" t="str">
        <f t="shared" si="18"/>
        <v/>
      </c>
      <c r="AK62" s="109" t="str">
        <f t="shared" si="19"/>
        <v/>
      </c>
      <c r="AL62" s="109" t="str">
        <f t="shared" si="20"/>
        <v/>
      </c>
      <c r="AM62" s="109" t="str">
        <f t="shared" si="21"/>
        <v/>
      </c>
      <c r="AN62" s="109" t="str">
        <f t="shared" si="22"/>
        <v/>
      </c>
      <c r="AO62" s="109" t="str">
        <f t="shared" si="23"/>
        <v/>
      </c>
      <c r="AP62" s="754" t="str">
        <f t="shared" si="24"/>
        <v/>
      </c>
      <c r="AQ62" s="755" t="str">
        <f t="shared" si="25"/>
        <v/>
      </c>
      <c r="AR62" s="195" t="str">
        <f t="shared" si="26"/>
        <v/>
      </c>
      <c r="AS62" s="195" t="str">
        <f t="shared" si="27"/>
        <v/>
      </c>
      <c r="AT62" s="664" t="str">
        <f t="shared" si="28"/>
        <v/>
      </c>
      <c r="AU62" s="756" t="str">
        <f t="shared" si="29"/>
        <v/>
      </c>
      <c r="AV62" s="195" t="str">
        <f t="shared" si="30"/>
        <v/>
      </c>
      <c r="AW62" s="195" t="str">
        <f t="shared" si="31"/>
        <v/>
      </c>
      <c r="AX62" s="195" t="str">
        <f t="shared" si="32"/>
        <v/>
      </c>
      <c r="AY62" s="728" t="str">
        <f t="shared" si="33"/>
        <v/>
      </c>
      <c r="AZ62" s="195" t="str">
        <f t="shared" si="34"/>
        <v/>
      </c>
      <c r="BA62" s="195" t="str">
        <f t="shared" si="35"/>
        <v/>
      </c>
      <c r="BB62" s="195" t="str">
        <f t="shared" si="36"/>
        <v/>
      </c>
      <c r="BC62" s="195" t="str">
        <f t="shared" si="37"/>
        <v/>
      </c>
      <c r="BD62" s="112" t="str">
        <f t="shared" si="38"/>
        <v/>
      </c>
      <c r="BE62" s="109" t="str">
        <f t="shared" si="39"/>
        <v/>
      </c>
      <c r="BF62" s="602"/>
      <c r="BG62" s="113" t="str">
        <f t="shared" si="40"/>
        <v/>
      </c>
      <c r="BH62" s="113" t="str">
        <f t="shared" si="41"/>
        <v/>
      </c>
      <c r="BI62" s="113" t="str">
        <f t="shared" si="42"/>
        <v/>
      </c>
      <c r="BJ62" s="281" t="str" cm="1">
        <f t="array" ref="BJ62">IF($AH62="","",
_xlfn.IFS(
$BE62="Devis 1",
IF(ISBLANK(AR62),"",IFERROR(VALUE(TRIM(SUBSTITUTE(AR62,CHAR(160),""))),0)*IFERROR(VALUE(TRIM(SUBSTITUTE($AH62,CHAR(160),""))),0)),
$BE62="Devis 2",
IF(ISBLANK(AW62),"",IFERROR(VALUE(TRIM(SUBSTITUTE(AW62,CHAR(160),""))),0)*IFERROR(VALUE(TRIM(SUBSTITUTE($AH62,CHAR(160),""))),0)),
$BE62="Devis 3",
IF(ISBLANK(BB62),"",IFERROR(VALUE(TRIM(SUBSTITUTE(BB62,CHAR(160),""))),0)*IFERROR(VALUE(TRIM(SUBSTITUTE($AH62,CHAR(160),""))),0)),
TRUE,0
)
)</f>
        <v/>
      </c>
      <c r="BK62" s="281" t="str" cm="1">
        <f t="array" ref="BK62">IF($AH62="","",
_xlfn.IFS(
$BE62="Devis 1",
IF(ISBLANK(AS62),"",IFERROR(VALUE(TRIM(SUBSTITUTE(AS62,CHAR(160),""))),0)*IFERROR(VALUE(TRIM(SUBSTITUTE($AH62,CHAR(160),""))),0)),
$BE62="Devis 2",
IF(ISBLANK(AX62),"",IFERROR(VALUE(TRIM(SUBSTITUTE(AX62,CHAR(160),""))),0)*IFERROR(VALUE(TRIM(SUBSTITUTE($AH62,CHAR(160),""))),0)),
$BE62="Devis 3",
IF(ISBLANK(BC62),"",IFERROR(VALUE(TRIM(SUBSTITUTE(BC62,CHAR(160),""))),0)*IFERROR(VALUE(TRIM(SUBSTITUTE($AH62,CHAR(160),""))),0)),
TRUE,0
)
)</f>
        <v/>
      </c>
      <c r="BL62" s="281" t="str">
        <f t="shared" si="43"/>
        <v/>
      </c>
      <c r="BM62" s="602"/>
      <c r="BN62" s="23" t="str" cm="1">
        <f t="array" ref="BN62">IF(OR(BL62="",BI62="",BJ62="",BG62="",BK62="",BH62=""),"",_xlfn.IFS(
ROUND(IFERROR(VALUE(TRIM(SUBSTITUTE(BL62,CHAR(160),""))),0),2)&gt;
ROUND(IFERROR(VALUE(TRIM(SUBSTITUTE(BI62,CHAR(160),""))),0),2),
"KO : Le montant retenu TTC est supérieur au montant raisonnable TTC. Merci de revoir la ligne de dépense ou plafonner son montant.",
ROUND(IFERROR(VALUE(TRIM(SUBSTITUTE(BJ62,CHAR(160),""))),0),2)&gt;
ROUND(IFERROR(VALUE(TRIM(SUBSTITUTE(BG62,CHAR(160),""))),0),2),
"Attention : Le montant retenu HT est supérieur au montant HT raisonnable. Merci de revoir la ligne de dépense, plafonner son montant, ou justifier la reventillation HT / TVA.",
ROUND(IFERROR(VALUE(TRIM(SUBSTITUTE(BK62,CHAR(160),""))),0),2)&gt;
ROUND(IFERROR(VALUE(TRIM(SUBSTITUTE(BH62,CHAR(160),""))),0),2),
"Attention : Le montant TVA retenu est supérieur au montant TVA raisonnable. Merci de revoir la ligne de dépense, plafonner son montant, ou justifier la reventillation HT / TVA.",
ROUND(IFERROR(VALUE(TRIM(SUBSTITUTE(BL62,CHAR(160),""))),0),2)&gt;
ROUND(IFERROR(VALUE(TRIM(SUBSTITUTE(MIN(P62,U62,Z62),CHAR(160),""))),0),2),
"Attention : Le devis retenu n'est pas le moins cher. Une justification de la part du porteur est nécessaire.",
ROUND(IFERROR(VALUE(TRIM(SUBSTITUTE(BL62,CHAR(160),""))),0),2)=0,
"Attention : montant présenté entièrement écarté",
ROUND(IFERROR(VALUE(TRIM(SUBSTITUTE(BI62,CHAR(160),""))),0),2)=
ROUND(IFERROR(VALUE(TRIM(SUBSTITUTE(BL62,CHAR(160),""))),0),2),
"OK",
ROUND(IFERROR(VALUE(TRIM(SUBSTITUTE(BI62,CHAR(160),""))),0),2)&gt;
ROUND(IFERROR(VALUE(TRIM(SUBSTITUTE(BL62,CHAR(160),""))),0),2),
" OK : Montant instruit inférieur au montant raisonnable.",
TRUE,""
))</f>
        <v/>
      </c>
      <c r="BO62" s="23" t="str" cm="1">
        <f t="array" ref="BO62">IF(OR(BL62="",AD62="",BJ62="",AB62="",BK62="",AC62=""),"",_xlfn.IFS(
ROUND(IFERROR(VALUE(TRIM(SUBSTITUTE(BL62,CHAR(160),""))),0),2)&gt;
ROUND(IFERROR(VALUE(TRIM(SUBSTITUTE(AD62,CHAR(160),""))),0),2),
"KO : Le montant retenu TTC est supérieur au montant présenté TTC. Merci de revoir la ligne de dépense ou plafonner son montant.",
ROUND(IFERROR(VALUE(TRIM(SUBSTITUTE(BJ62,CHAR(160),""))),0),2)&gt;
ROUND(IFERROR(VALUE(TRIM(SUBSTITUTE(AB62,CHAR(160),""))),0),2),
"Attention : Le montant retenu HT est supérieur au montant HT présenté. Merci de revoir la ligne de dépense, plafonner son montant, ou justifier la reventillation HT / TVA.",
ROUND(IFERROR(VALUE(TRIM(SUBSTITUTE(BK62,CHAR(160),""))),0),2)&gt;
ROUND(IFERROR(VALUE(TRIM(SUBSTITUTE(AC62,CHAR(160),""))),0),2),
"Attention : Le montant TVA retenu est supérieur au montant TVA présenté. Merci de revoir la ligne de dépense, plafonner son montant, ou justifier la reventillation HT / TVA.",
ROUND(IFERROR(VALUE(TRIM(SUBSTITUTE(AD62,CHAR(160),""))),0),2)=0,
"",
ROUND(IFERROR(VALUE(TRIM(SUBSTITUTE(BL62,CHAR(160),""))),0),2)=
ROUND(IFERROR(VALUE(TRIM(SUBSTITUTE(AD62,CHAR(160),""))),0),2),
"OK",
ROUND(IFERROR(VALUE(TRIM(SUBSTITUTE(BL62,CHAR(160),""))),0),2)=0,
"Attention : Montant présenté entièrement rejeté.",
ROUND(IFERROR(VALUE(TRIM(SUBSTITUTE(BL62,CHAR(160),""))),0),2)&lt;
ROUND(IFERROR(VALUE(TRIM(SUBSTITUTE(AD62,CHAR(160),""))),0),2),
"Attention : Montant présenté partiellement rejeté.",
TRUE,""
))</f>
        <v/>
      </c>
      <c r="BP62" s="113" t="str">
        <f t="shared" si="44"/>
        <v/>
      </c>
      <c r="BQ62" s="113" t="str">
        <f t="shared" si="45"/>
        <v/>
      </c>
      <c r="BR62" s="33" t="str">
        <f t="shared" si="46"/>
        <v/>
      </c>
    </row>
    <row r="63" spans="1:70" ht="15" customHeight="1">
      <c r="A63" s="193">
        <v>55</v>
      </c>
      <c r="B63" s="7"/>
      <c r="C63" s="7"/>
      <c r="D63" s="19"/>
      <c r="E63" s="7"/>
      <c r="F63" s="7"/>
      <c r="G63" s="7"/>
      <c r="H63" s="7"/>
      <c r="I63" s="28"/>
      <c r="J63" s="7"/>
      <c r="K63" s="29"/>
      <c r="L63" s="678"/>
      <c r="M63" s="7"/>
      <c r="N63" s="672"/>
      <c r="O63" s="11"/>
      <c r="P63" s="107" t="str">
        <f t="shared" si="48"/>
        <v/>
      </c>
      <c r="Q63" s="699"/>
      <c r="R63" s="702"/>
      <c r="S63" s="684"/>
      <c r="T63" s="11"/>
      <c r="U63" s="107" t="str">
        <f t="shared" si="49"/>
        <v/>
      </c>
      <c r="V63" s="695"/>
      <c r="W63" s="685"/>
      <c r="X63" s="707"/>
      <c r="Y63" s="684"/>
      <c r="Z63" s="108" t="str">
        <f t="shared" si="50"/>
        <v/>
      </c>
      <c r="AA63" s="25"/>
      <c r="AB63" s="287" t="str" cm="1">
        <f t="array" ref="AB63">IF((_xlfn.IFS(TRIM(SUBSTITUTE(AA63,CHAR(160),""))="Devis 1",IFERROR(VALUE(TRIM(SUBSTITUTE(N63,CHAR(160),""))),0),TRIM(SUBSTITUTE(AA63,CHAR(160),""))="Devis 2",IFERROR(VALUE(TRIM(SUBSTITUTE(S63,CHAR(160),""))),0),TRIM(SUBSTITUTE(AA63,CHAR(160),""))="Devis 3",IFERROR(VALUE(TRIM(SUBSTITUTE(X63,CHAR(160),""))),0),TRUE,0)*IFERROR(VALUE(TRIM(SUBSTITUTE(D63,CHAR(160),""))),0))=0,"",_xlfn.IFS(TRIM(SUBSTITUTE(AA63,CHAR(160),""))="Devis 1",IFERROR(VALUE(TRIM(SUBSTITUTE(N63,CHAR(160),""))),0),TRIM(SUBSTITUTE(AA63,CHAR(160),""))="Devis 2",IFERROR(VALUE(TRIM(SUBSTITUTE(S63,CHAR(160),""))),0),TRIM(SUBSTITUTE(AA63,CHAR(160),""))="Devis 3",IFERROR(VALUE(TRIM(SUBSTITUTE(X63,CHAR(160),""))),0),TRUE,0)*IFERROR(VALUE(TRIM(SUBSTITUTE(D63,CHAR(160),""))),0))</f>
        <v/>
      </c>
      <c r="AC63" s="275" t="str" cm="1">
        <f t="array" ref="AC63">IF(_xlfn.IFS(TRIM(SUBSTITUTE(AA63,CHAR(160),""))="Devis 1",IFERROR(VALUE(TRIM(SUBSTITUTE(O63,CHAR(160),""))),0),TRIM(SUBSTITUTE(AA63,CHAR(160),""))="Devis 2",IFERROR(VALUE(TRIM(SUBSTITUTE(T63,CHAR(160),""))),0),TRIM(SUBSTITUTE(AA63,CHAR(160),""))="Devis 3",IFERROR(VALUE(TRIM(SUBSTITUTE(Y63,CHAR(160),""))),0),TRUE,0)*IFERROR(VALUE(TRIM(SUBSTITUTE(D63,CHAR(160),""))),0)=0,IF(AB63&lt;&gt;"",0,""),_xlfn.IFS(TRIM(SUBSTITUTE(AA63,CHAR(160),""))="Devis 1",IFERROR(VALUE(TRIM(SUBSTITUTE(O63,CHAR(160),""))),0),TRIM(SUBSTITUTE(AA63,CHAR(160),""))="Devis 2",IFERROR(VALUE(TRIM(SUBSTITUTE(T63,CHAR(160),""))),0),TRIM(SUBSTITUTE(AA63,CHAR(160),""))="Devis 3",IFERROR(VALUE(TRIM(SUBSTITUTE(Y63,CHAR(160),""))),0),TRUE,0)*IFERROR(VALUE(TRIM(SUBSTITUTE(D63,CHAR(160),""))),0))</f>
        <v/>
      </c>
      <c r="AD63" s="285" t="str">
        <f t="shared" si="51"/>
        <v/>
      </c>
      <c r="AE63" s="26"/>
      <c r="AF63" s="109" t="str">
        <f t="shared" si="14"/>
        <v/>
      </c>
      <c r="AG63" s="109" t="str">
        <f t="shared" si="15"/>
        <v/>
      </c>
      <c r="AH63" s="885" t="str">
        <f t="shared" si="16"/>
        <v/>
      </c>
      <c r="AI63" s="109" t="str">
        <f t="shared" si="17"/>
        <v/>
      </c>
      <c r="AJ63" s="109" t="str">
        <f t="shared" si="18"/>
        <v/>
      </c>
      <c r="AK63" s="109" t="str">
        <f t="shared" si="19"/>
        <v/>
      </c>
      <c r="AL63" s="109" t="str">
        <f t="shared" si="20"/>
        <v/>
      </c>
      <c r="AM63" s="109" t="str">
        <f t="shared" si="21"/>
        <v/>
      </c>
      <c r="AN63" s="109" t="str">
        <f t="shared" si="22"/>
        <v/>
      </c>
      <c r="AO63" s="109" t="str">
        <f t="shared" si="23"/>
        <v/>
      </c>
      <c r="AP63" s="754" t="str">
        <f t="shared" si="24"/>
        <v/>
      </c>
      <c r="AQ63" s="755" t="str">
        <f t="shared" si="25"/>
        <v/>
      </c>
      <c r="AR63" s="195" t="str">
        <f t="shared" si="26"/>
        <v/>
      </c>
      <c r="AS63" s="195" t="str">
        <f t="shared" si="27"/>
        <v/>
      </c>
      <c r="AT63" s="664" t="str">
        <f t="shared" si="28"/>
        <v/>
      </c>
      <c r="AU63" s="756" t="str">
        <f t="shared" si="29"/>
        <v/>
      </c>
      <c r="AV63" s="195" t="str">
        <f t="shared" si="30"/>
        <v/>
      </c>
      <c r="AW63" s="195" t="str">
        <f t="shared" si="31"/>
        <v/>
      </c>
      <c r="AX63" s="195" t="str">
        <f t="shared" si="32"/>
        <v/>
      </c>
      <c r="AY63" s="728" t="str">
        <f t="shared" si="33"/>
        <v/>
      </c>
      <c r="AZ63" s="195" t="str">
        <f t="shared" si="34"/>
        <v/>
      </c>
      <c r="BA63" s="195" t="str">
        <f t="shared" si="35"/>
        <v/>
      </c>
      <c r="BB63" s="195" t="str">
        <f t="shared" si="36"/>
        <v/>
      </c>
      <c r="BC63" s="195" t="str">
        <f t="shared" si="37"/>
        <v/>
      </c>
      <c r="BD63" s="112" t="str">
        <f t="shared" si="38"/>
        <v/>
      </c>
      <c r="BE63" s="109" t="str">
        <f t="shared" si="39"/>
        <v/>
      </c>
      <c r="BF63" s="602"/>
      <c r="BG63" s="113" t="str">
        <f t="shared" si="40"/>
        <v/>
      </c>
      <c r="BH63" s="113" t="str">
        <f t="shared" si="41"/>
        <v/>
      </c>
      <c r="BI63" s="113" t="str">
        <f t="shared" si="42"/>
        <v/>
      </c>
      <c r="BJ63" s="281" t="str" cm="1">
        <f t="array" ref="BJ63">IF($AH63="","",
_xlfn.IFS(
$BE63="Devis 1",
IF(ISBLANK(AR63),"",IFERROR(VALUE(TRIM(SUBSTITUTE(AR63,CHAR(160),""))),0)*IFERROR(VALUE(TRIM(SUBSTITUTE($AH63,CHAR(160),""))),0)),
$BE63="Devis 2",
IF(ISBLANK(AW63),"",IFERROR(VALUE(TRIM(SUBSTITUTE(AW63,CHAR(160),""))),0)*IFERROR(VALUE(TRIM(SUBSTITUTE($AH63,CHAR(160),""))),0)),
$BE63="Devis 3",
IF(ISBLANK(BB63),"",IFERROR(VALUE(TRIM(SUBSTITUTE(BB63,CHAR(160),""))),0)*IFERROR(VALUE(TRIM(SUBSTITUTE($AH63,CHAR(160),""))),0)),
TRUE,0
)
)</f>
        <v/>
      </c>
      <c r="BK63" s="281" t="str" cm="1">
        <f t="array" ref="BK63">IF($AH63="","",
_xlfn.IFS(
$BE63="Devis 1",
IF(ISBLANK(AS63),"",IFERROR(VALUE(TRIM(SUBSTITUTE(AS63,CHAR(160),""))),0)*IFERROR(VALUE(TRIM(SUBSTITUTE($AH63,CHAR(160),""))),0)),
$BE63="Devis 2",
IF(ISBLANK(AX63),"",IFERROR(VALUE(TRIM(SUBSTITUTE(AX63,CHAR(160),""))),0)*IFERROR(VALUE(TRIM(SUBSTITUTE($AH63,CHAR(160),""))),0)),
$BE63="Devis 3",
IF(ISBLANK(BC63),"",IFERROR(VALUE(TRIM(SUBSTITUTE(BC63,CHAR(160),""))),0)*IFERROR(VALUE(TRIM(SUBSTITUTE($AH63,CHAR(160),""))),0)),
TRUE,0
)
)</f>
        <v/>
      </c>
      <c r="BL63" s="281" t="str">
        <f t="shared" si="43"/>
        <v/>
      </c>
      <c r="BM63" s="602"/>
      <c r="BN63" s="23" t="str" cm="1">
        <f t="array" ref="BN63">IF(OR(BL63="",BI63="",BJ63="",BG63="",BK63="",BH63=""),"",_xlfn.IFS(
ROUND(IFERROR(VALUE(TRIM(SUBSTITUTE(BL63,CHAR(160),""))),0),2)&gt;
ROUND(IFERROR(VALUE(TRIM(SUBSTITUTE(BI63,CHAR(160),""))),0),2),
"KO : Le montant retenu TTC est supérieur au montant raisonnable TTC. Merci de revoir la ligne de dépense ou plafonner son montant.",
ROUND(IFERROR(VALUE(TRIM(SUBSTITUTE(BJ63,CHAR(160),""))),0),2)&gt;
ROUND(IFERROR(VALUE(TRIM(SUBSTITUTE(BG63,CHAR(160),""))),0),2),
"Attention : Le montant retenu HT est supérieur au montant HT raisonnable. Merci de revoir la ligne de dépense, plafonner son montant, ou justifier la reventillation HT / TVA.",
ROUND(IFERROR(VALUE(TRIM(SUBSTITUTE(BK63,CHAR(160),""))),0),2)&gt;
ROUND(IFERROR(VALUE(TRIM(SUBSTITUTE(BH63,CHAR(160),""))),0),2),
"Attention : Le montant TVA retenu est supérieur au montant TVA raisonnable. Merci de revoir la ligne de dépense, plafonner son montant, ou justifier la reventillation HT / TVA.",
ROUND(IFERROR(VALUE(TRIM(SUBSTITUTE(BL63,CHAR(160),""))),0),2)&gt;
ROUND(IFERROR(VALUE(TRIM(SUBSTITUTE(MIN(P63,U63,Z63),CHAR(160),""))),0),2),
"Attention : Le devis retenu n'est pas le moins cher. Une justification de la part du porteur est nécessaire.",
ROUND(IFERROR(VALUE(TRIM(SUBSTITUTE(BL63,CHAR(160),""))),0),2)=0,
"Attention : montant présenté entièrement écarté",
ROUND(IFERROR(VALUE(TRIM(SUBSTITUTE(BI63,CHAR(160),""))),0),2)=
ROUND(IFERROR(VALUE(TRIM(SUBSTITUTE(BL63,CHAR(160),""))),0),2),
"OK",
ROUND(IFERROR(VALUE(TRIM(SUBSTITUTE(BI63,CHAR(160),""))),0),2)&gt;
ROUND(IFERROR(VALUE(TRIM(SUBSTITUTE(BL63,CHAR(160),""))),0),2),
" OK : Montant instruit inférieur au montant raisonnable.",
TRUE,""
))</f>
        <v/>
      </c>
      <c r="BO63" s="23" t="str" cm="1">
        <f t="array" ref="BO63">IF(OR(BL63="",AD63="",BJ63="",AB63="",BK63="",AC63=""),"",_xlfn.IFS(
ROUND(IFERROR(VALUE(TRIM(SUBSTITUTE(BL63,CHAR(160),""))),0),2)&gt;
ROUND(IFERROR(VALUE(TRIM(SUBSTITUTE(AD63,CHAR(160),""))),0),2),
"KO : Le montant retenu TTC est supérieur au montant présenté TTC. Merci de revoir la ligne de dépense ou plafonner son montant.",
ROUND(IFERROR(VALUE(TRIM(SUBSTITUTE(BJ63,CHAR(160),""))),0),2)&gt;
ROUND(IFERROR(VALUE(TRIM(SUBSTITUTE(AB63,CHAR(160),""))),0),2),
"Attention : Le montant retenu HT est supérieur au montant HT présenté. Merci de revoir la ligne de dépense, plafonner son montant, ou justifier la reventillation HT / TVA.",
ROUND(IFERROR(VALUE(TRIM(SUBSTITUTE(BK63,CHAR(160),""))),0),2)&gt;
ROUND(IFERROR(VALUE(TRIM(SUBSTITUTE(AC63,CHAR(160),""))),0),2),
"Attention : Le montant TVA retenu est supérieur au montant TVA présenté. Merci de revoir la ligne de dépense, plafonner son montant, ou justifier la reventillation HT / TVA.",
ROUND(IFERROR(VALUE(TRIM(SUBSTITUTE(AD63,CHAR(160),""))),0),2)=0,
"",
ROUND(IFERROR(VALUE(TRIM(SUBSTITUTE(BL63,CHAR(160),""))),0),2)=
ROUND(IFERROR(VALUE(TRIM(SUBSTITUTE(AD63,CHAR(160),""))),0),2),
"OK",
ROUND(IFERROR(VALUE(TRIM(SUBSTITUTE(BL63,CHAR(160),""))),0),2)=0,
"Attention : Montant présenté entièrement rejeté.",
ROUND(IFERROR(VALUE(TRIM(SUBSTITUTE(BL63,CHAR(160),""))),0),2)&lt;
ROUND(IFERROR(VALUE(TRIM(SUBSTITUTE(AD63,CHAR(160),""))),0),2),
"Attention : Montant présenté partiellement rejeté.",
TRUE,""
))</f>
        <v/>
      </c>
      <c r="BP63" s="113" t="str">
        <f t="shared" si="44"/>
        <v/>
      </c>
      <c r="BQ63" s="113" t="str">
        <f t="shared" si="45"/>
        <v/>
      </c>
      <c r="BR63" s="33" t="str">
        <f t="shared" si="46"/>
        <v/>
      </c>
    </row>
    <row r="64" spans="1:70" ht="15" customHeight="1">
      <c r="A64" s="193">
        <v>56</v>
      </c>
      <c r="B64" s="7"/>
      <c r="C64" s="7"/>
      <c r="D64" s="19"/>
      <c r="E64" s="7"/>
      <c r="F64" s="7"/>
      <c r="G64" s="7"/>
      <c r="H64" s="7"/>
      <c r="I64" s="28"/>
      <c r="J64" s="7"/>
      <c r="K64" s="29"/>
      <c r="L64" s="678"/>
      <c r="M64" s="7"/>
      <c r="N64" s="672"/>
      <c r="O64" s="11"/>
      <c r="P64" s="107" t="str">
        <f t="shared" si="48"/>
        <v/>
      </c>
      <c r="Q64" s="699"/>
      <c r="R64" s="702"/>
      <c r="S64" s="684"/>
      <c r="T64" s="11"/>
      <c r="U64" s="107" t="str">
        <f t="shared" si="49"/>
        <v/>
      </c>
      <c r="V64" s="695"/>
      <c r="W64" s="685"/>
      <c r="X64" s="707"/>
      <c r="Y64" s="684"/>
      <c r="Z64" s="108" t="str">
        <f t="shared" si="50"/>
        <v/>
      </c>
      <c r="AA64" s="25"/>
      <c r="AB64" s="287" t="str" cm="1">
        <f t="array" ref="AB64">IF((_xlfn.IFS(TRIM(SUBSTITUTE(AA64,CHAR(160),""))="Devis 1",IFERROR(VALUE(TRIM(SUBSTITUTE(N64,CHAR(160),""))),0),TRIM(SUBSTITUTE(AA64,CHAR(160),""))="Devis 2",IFERROR(VALUE(TRIM(SUBSTITUTE(S64,CHAR(160),""))),0),TRIM(SUBSTITUTE(AA64,CHAR(160),""))="Devis 3",IFERROR(VALUE(TRIM(SUBSTITUTE(X64,CHAR(160),""))),0),TRUE,0)*IFERROR(VALUE(TRIM(SUBSTITUTE(D64,CHAR(160),""))),0))=0,"",_xlfn.IFS(TRIM(SUBSTITUTE(AA64,CHAR(160),""))="Devis 1",IFERROR(VALUE(TRIM(SUBSTITUTE(N64,CHAR(160),""))),0),TRIM(SUBSTITUTE(AA64,CHAR(160),""))="Devis 2",IFERROR(VALUE(TRIM(SUBSTITUTE(S64,CHAR(160),""))),0),TRIM(SUBSTITUTE(AA64,CHAR(160),""))="Devis 3",IFERROR(VALUE(TRIM(SUBSTITUTE(X64,CHAR(160),""))),0),TRUE,0)*IFERROR(VALUE(TRIM(SUBSTITUTE(D64,CHAR(160),""))),0))</f>
        <v/>
      </c>
      <c r="AC64" s="275" t="str" cm="1">
        <f t="array" ref="AC64">IF(_xlfn.IFS(TRIM(SUBSTITUTE(AA64,CHAR(160),""))="Devis 1",IFERROR(VALUE(TRIM(SUBSTITUTE(O64,CHAR(160),""))),0),TRIM(SUBSTITUTE(AA64,CHAR(160),""))="Devis 2",IFERROR(VALUE(TRIM(SUBSTITUTE(T64,CHAR(160),""))),0),TRIM(SUBSTITUTE(AA64,CHAR(160),""))="Devis 3",IFERROR(VALUE(TRIM(SUBSTITUTE(Y64,CHAR(160),""))),0),TRUE,0)*IFERROR(VALUE(TRIM(SUBSTITUTE(D64,CHAR(160),""))),0)=0,IF(AB64&lt;&gt;"",0,""),_xlfn.IFS(TRIM(SUBSTITUTE(AA64,CHAR(160),""))="Devis 1",IFERROR(VALUE(TRIM(SUBSTITUTE(O64,CHAR(160),""))),0),TRIM(SUBSTITUTE(AA64,CHAR(160),""))="Devis 2",IFERROR(VALUE(TRIM(SUBSTITUTE(T64,CHAR(160),""))),0),TRIM(SUBSTITUTE(AA64,CHAR(160),""))="Devis 3",IFERROR(VALUE(TRIM(SUBSTITUTE(Y64,CHAR(160),""))),0),TRUE,0)*IFERROR(VALUE(TRIM(SUBSTITUTE(D64,CHAR(160),""))),0))</f>
        <v/>
      </c>
      <c r="AD64" s="285" t="str">
        <f t="shared" si="51"/>
        <v/>
      </c>
      <c r="AE64" s="26"/>
      <c r="AF64" s="109" t="str">
        <f t="shared" si="14"/>
        <v/>
      </c>
      <c r="AG64" s="109" t="str">
        <f t="shared" si="15"/>
        <v/>
      </c>
      <c r="AH64" s="885" t="str">
        <f t="shared" si="16"/>
        <v/>
      </c>
      <c r="AI64" s="109" t="str">
        <f t="shared" si="17"/>
        <v/>
      </c>
      <c r="AJ64" s="109" t="str">
        <f t="shared" si="18"/>
        <v/>
      </c>
      <c r="AK64" s="109" t="str">
        <f t="shared" si="19"/>
        <v/>
      </c>
      <c r="AL64" s="109" t="str">
        <f t="shared" si="20"/>
        <v/>
      </c>
      <c r="AM64" s="109" t="str">
        <f t="shared" si="21"/>
        <v/>
      </c>
      <c r="AN64" s="109" t="str">
        <f t="shared" si="22"/>
        <v/>
      </c>
      <c r="AO64" s="109" t="str">
        <f t="shared" si="23"/>
        <v/>
      </c>
      <c r="AP64" s="754" t="str">
        <f t="shared" si="24"/>
        <v/>
      </c>
      <c r="AQ64" s="755" t="str">
        <f t="shared" si="25"/>
        <v/>
      </c>
      <c r="AR64" s="195" t="str">
        <f t="shared" si="26"/>
        <v/>
      </c>
      <c r="AS64" s="195" t="str">
        <f t="shared" si="27"/>
        <v/>
      </c>
      <c r="AT64" s="664" t="str">
        <f t="shared" si="28"/>
        <v/>
      </c>
      <c r="AU64" s="756" t="str">
        <f t="shared" si="29"/>
        <v/>
      </c>
      <c r="AV64" s="195" t="str">
        <f t="shared" si="30"/>
        <v/>
      </c>
      <c r="AW64" s="195" t="str">
        <f t="shared" si="31"/>
        <v/>
      </c>
      <c r="AX64" s="195" t="str">
        <f t="shared" si="32"/>
        <v/>
      </c>
      <c r="AY64" s="728" t="str">
        <f t="shared" si="33"/>
        <v/>
      </c>
      <c r="AZ64" s="195" t="str">
        <f t="shared" si="34"/>
        <v/>
      </c>
      <c r="BA64" s="195" t="str">
        <f t="shared" si="35"/>
        <v/>
      </c>
      <c r="BB64" s="195" t="str">
        <f t="shared" si="36"/>
        <v/>
      </c>
      <c r="BC64" s="195" t="str">
        <f t="shared" si="37"/>
        <v/>
      </c>
      <c r="BD64" s="112" t="str">
        <f t="shared" si="38"/>
        <v/>
      </c>
      <c r="BE64" s="109" t="str">
        <f t="shared" si="39"/>
        <v/>
      </c>
      <c r="BF64" s="602"/>
      <c r="BG64" s="113" t="str">
        <f t="shared" si="40"/>
        <v/>
      </c>
      <c r="BH64" s="113" t="str">
        <f t="shared" si="41"/>
        <v/>
      </c>
      <c r="BI64" s="113" t="str">
        <f t="shared" si="42"/>
        <v/>
      </c>
      <c r="BJ64" s="281" t="str" cm="1">
        <f t="array" ref="BJ64">IF($AH64="","",
_xlfn.IFS(
$BE64="Devis 1",
IF(ISBLANK(AR64),"",IFERROR(VALUE(TRIM(SUBSTITUTE(AR64,CHAR(160),""))),0)*IFERROR(VALUE(TRIM(SUBSTITUTE($AH64,CHAR(160),""))),0)),
$BE64="Devis 2",
IF(ISBLANK(AW64),"",IFERROR(VALUE(TRIM(SUBSTITUTE(AW64,CHAR(160),""))),0)*IFERROR(VALUE(TRIM(SUBSTITUTE($AH64,CHAR(160),""))),0)),
$BE64="Devis 3",
IF(ISBLANK(BB64),"",IFERROR(VALUE(TRIM(SUBSTITUTE(BB64,CHAR(160),""))),0)*IFERROR(VALUE(TRIM(SUBSTITUTE($AH64,CHAR(160),""))),0)),
TRUE,0
)
)</f>
        <v/>
      </c>
      <c r="BK64" s="281" t="str" cm="1">
        <f t="array" ref="BK64">IF($AH64="","",
_xlfn.IFS(
$BE64="Devis 1",
IF(ISBLANK(AS64),"",IFERROR(VALUE(TRIM(SUBSTITUTE(AS64,CHAR(160),""))),0)*IFERROR(VALUE(TRIM(SUBSTITUTE($AH64,CHAR(160),""))),0)),
$BE64="Devis 2",
IF(ISBLANK(AX64),"",IFERROR(VALUE(TRIM(SUBSTITUTE(AX64,CHAR(160),""))),0)*IFERROR(VALUE(TRIM(SUBSTITUTE($AH64,CHAR(160),""))),0)),
$BE64="Devis 3",
IF(ISBLANK(BC64),"",IFERROR(VALUE(TRIM(SUBSTITUTE(BC64,CHAR(160),""))),0)*IFERROR(VALUE(TRIM(SUBSTITUTE($AH64,CHAR(160),""))),0)),
TRUE,0
)
)</f>
        <v/>
      </c>
      <c r="BL64" s="281" t="str">
        <f t="shared" si="43"/>
        <v/>
      </c>
      <c r="BM64" s="602"/>
      <c r="BN64" s="23" t="str" cm="1">
        <f t="array" ref="BN64">IF(OR(BL64="",BI64="",BJ64="",BG64="",BK64="",BH64=""),"",_xlfn.IFS(
ROUND(IFERROR(VALUE(TRIM(SUBSTITUTE(BL64,CHAR(160),""))),0),2)&gt;
ROUND(IFERROR(VALUE(TRIM(SUBSTITUTE(BI64,CHAR(160),""))),0),2),
"KO : Le montant retenu TTC est supérieur au montant raisonnable TTC. Merci de revoir la ligne de dépense ou plafonner son montant.",
ROUND(IFERROR(VALUE(TRIM(SUBSTITUTE(BJ64,CHAR(160),""))),0),2)&gt;
ROUND(IFERROR(VALUE(TRIM(SUBSTITUTE(BG64,CHAR(160),""))),0),2),
"Attention : Le montant retenu HT est supérieur au montant HT raisonnable. Merci de revoir la ligne de dépense, plafonner son montant, ou justifier la reventillation HT / TVA.",
ROUND(IFERROR(VALUE(TRIM(SUBSTITUTE(BK64,CHAR(160),""))),0),2)&gt;
ROUND(IFERROR(VALUE(TRIM(SUBSTITUTE(BH64,CHAR(160),""))),0),2),
"Attention : Le montant TVA retenu est supérieur au montant TVA raisonnable. Merci de revoir la ligne de dépense, plafonner son montant, ou justifier la reventillation HT / TVA.",
ROUND(IFERROR(VALUE(TRIM(SUBSTITUTE(BL64,CHAR(160),""))),0),2)&gt;
ROUND(IFERROR(VALUE(TRIM(SUBSTITUTE(MIN(P64,U64,Z64),CHAR(160),""))),0),2),
"Attention : Le devis retenu n'est pas le moins cher. Une justification de la part du porteur est nécessaire.",
ROUND(IFERROR(VALUE(TRIM(SUBSTITUTE(BL64,CHAR(160),""))),0),2)=0,
"Attention : montant présenté entièrement écarté",
ROUND(IFERROR(VALUE(TRIM(SUBSTITUTE(BI64,CHAR(160),""))),0),2)=
ROUND(IFERROR(VALUE(TRIM(SUBSTITUTE(BL64,CHAR(160),""))),0),2),
"OK",
ROUND(IFERROR(VALUE(TRIM(SUBSTITUTE(BI64,CHAR(160),""))),0),2)&gt;
ROUND(IFERROR(VALUE(TRIM(SUBSTITUTE(BL64,CHAR(160),""))),0),2),
" OK : Montant instruit inférieur au montant raisonnable.",
TRUE,""
))</f>
        <v/>
      </c>
      <c r="BO64" s="23" t="str" cm="1">
        <f t="array" ref="BO64">IF(OR(BL64="",AD64="",BJ64="",AB64="",BK64="",AC64=""),"",_xlfn.IFS(
ROUND(IFERROR(VALUE(TRIM(SUBSTITUTE(BL64,CHAR(160),""))),0),2)&gt;
ROUND(IFERROR(VALUE(TRIM(SUBSTITUTE(AD64,CHAR(160),""))),0),2),
"KO : Le montant retenu TTC est supérieur au montant présenté TTC. Merci de revoir la ligne de dépense ou plafonner son montant.",
ROUND(IFERROR(VALUE(TRIM(SUBSTITUTE(BJ64,CHAR(160),""))),0),2)&gt;
ROUND(IFERROR(VALUE(TRIM(SUBSTITUTE(AB64,CHAR(160),""))),0),2),
"Attention : Le montant retenu HT est supérieur au montant HT présenté. Merci de revoir la ligne de dépense, plafonner son montant, ou justifier la reventillation HT / TVA.",
ROUND(IFERROR(VALUE(TRIM(SUBSTITUTE(BK64,CHAR(160),""))),0),2)&gt;
ROUND(IFERROR(VALUE(TRIM(SUBSTITUTE(AC64,CHAR(160),""))),0),2),
"Attention : Le montant TVA retenu est supérieur au montant TVA présenté. Merci de revoir la ligne de dépense, plafonner son montant, ou justifier la reventillation HT / TVA.",
ROUND(IFERROR(VALUE(TRIM(SUBSTITUTE(AD64,CHAR(160),""))),0),2)=0,
"",
ROUND(IFERROR(VALUE(TRIM(SUBSTITUTE(BL64,CHAR(160),""))),0),2)=
ROUND(IFERROR(VALUE(TRIM(SUBSTITUTE(AD64,CHAR(160),""))),0),2),
"OK",
ROUND(IFERROR(VALUE(TRIM(SUBSTITUTE(BL64,CHAR(160),""))),0),2)=0,
"Attention : Montant présenté entièrement rejeté.",
ROUND(IFERROR(VALUE(TRIM(SUBSTITUTE(BL64,CHAR(160),""))),0),2)&lt;
ROUND(IFERROR(VALUE(TRIM(SUBSTITUTE(AD64,CHAR(160),""))),0),2),
"Attention : Montant présenté partiellement rejeté.",
TRUE,""
))</f>
        <v/>
      </c>
      <c r="BP64" s="113" t="str">
        <f t="shared" si="44"/>
        <v/>
      </c>
      <c r="BQ64" s="113" t="str">
        <f t="shared" si="45"/>
        <v/>
      </c>
      <c r="BR64" s="33" t="str">
        <f t="shared" si="46"/>
        <v/>
      </c>
    </row>
    <row r="65" spans="1:70" ht="15" customHeight="1">
      <c r="A65" s="193">
        <v>57</v>
      </c>
      <c r="B65" s="7"/>
      <c r="C65" s="7"/>
      <c r="D65" s="19"/>
      <c r="E65" s="7"/>
      <c r="F65" s="7"/>
      <c r="G65" s="7"/>
      <c r="H65" s="7"/>
      <c r="I65" s="28"/>
      <c r="J65" s="7"/>
      <c r="K65" s="29"/>
      <c r="L65" s="678"/>
      <c r="M65" s="7"/>
      <c r="N65" s="672"/>
      <c r="O65" s="11"/>
      <c r="P65" s="107" t="str">
        <f t="shared" si="48"/>
        <v/>
      </c>
      <c r="Q65" s="699"/>
      <c r="R65" s="702"/>
      <c r="S65" s="684"/>
      <c r="T65" s="11"/>
      <c r="U65" s="107" t="str">
        <f t="shared" si="49"/>
        <v/>
      </c>
      <c r="V65" s="695"/>
      <c r="W65" s="685"/>
      <c r="X65" s="707"/>
      <c r="Y65" s="684"/>
      <c r="Z65" s="108" t="str">
        <f t="shared" si="50"/>
        <v/>
      </c>
      <c r="AA65" s="25"/>
      <c r="AB65" s="287" t="str" cm="1">
        <f t="array" ref="AB65">IF((_xlfn.IFS(TRIM(SUBSTITUTE(AA65,CHAR(160),""))="Devis 1",IFERROR(VALUE(TRIM(SUBSTITUTE(N65,CHAR(160),""))),0),TRIM(SUBSTITUTE(AA65,CHAR(160),""))="Devis 2",IFERROR(VALUE(TRIM(SUBSTITUTE(S65,CHAR(160),""))),0),TRIM(SUBSTITUTE(AA65,CHAR(160),""))="Devis 3",IFERROR(VALUE(TRIM(SUBSTITUTE(X65,CHAR(160),""))),0),TRUE,0)*IFERROR(VALUE(TRIM(SUBSTITUTE(D65,CHAR(160),""))),0))=0,"",_xlfn.IFS(TRIM(SUBSTITUTE(AA65,CHAR(160),""))="Devis 1",IFERROR(VALUE(TRIM(SUBSTITUTE(N65,CHAR(160),""))),0),TRIM(SUBSTITUTE(AA65,CHAR(160),""))="Devis 2",IFERROR(VALUE(TRIM(SUBSTITUTE(S65,CHAR(160),""))),0),TRIM(SUBSTITUTE(AA65,CHAR(160),""))="Devis 3",IFERROR(VALUE(TRIM(SUBSTITUTE(X65,CHAR(160),""))),0),TRUE,0)*IFERROR(VALUE(TRIM(SUBSTITUTE(D65,CHAR(160),""))),0))</f>
        <v/>
      </c>
      <c r="AC65" s="275" t="str" cm="1">
        <f t="array" ref="AC65">IF(_xlfn.IFS(TRIM(SUBSTITUTE(AA65,CHAR(160),""))="Devis 1",IFERROR(VALUE(TRIM(SUBSTITUTE(O65,CHAR(160),""))),0),TRIM(SUBSTITUTE(AA65,CHAR(160),""))="Devis 2",IFERROR(VALUE(TRIM(SUBSTITUTE(T65,CHAR(160),""))),0),TRIM(SUBSTITUTE(AA65,CHAR(160),""))="Devis 3",IFERROR(VALUE(TRIM(SUBSTITUTE(Y65,CHAR(160),""))),0),TRUE,0)*IFERROR(VALUE(TRIM(SUBSTITUTE(D65,CHAR(160),""))),0)=0,IF(AB65&lt;&gt;"",0,""),_xlfn.IFS(TRIM(SUBSTITUTE(AA65,CHAR(160),""))="Devis 1",IFERROR(VALUE(TRIM(SUBSTITUTE(O65,CHAR(160),""))),0),TRIM(SUBSTITUTE(AA65,CHAR(160),""))="Devis 2",IFERROR(VALUE(TRIM(SUBSTITUTE(T65,CHAR(160),""))),0),TRIM(SUBSTITUTE(AA65,CHAR(160),""))="Devis 3",IFERROR(VALUE(TRIM(SUBSTITUTE(Y65,CHAR(160),""))),0),TRUE,0)*IFERROR(VALUE(TRIM(SUBSTITUTE(D65,CHAR(160),""))),0))</f>
        <v/>
      </c>
      <c r="AD65" s="285" t="str">
        <f t="shared" si="51"/>
        <v/>
      </c>
      <c r="AE65" s="26"/>
      <c r="AF65" s="109" t="str">
        <f t="shared" si="14"/>
        <v/>
      </c>
      <c r="AG65" s="109" t="str">
        <f t="shared" si="15"/>
        <v/>
      </c>
      <c r="AH65" s="885" t="str">
        <f t="shared" si="16"/>
        <v/>
      </c>
      <c r="AI65" s="109" t="str">
        <f t="shared" si="17"/>
        <v/>
      </c>
      <c r="AJ65" s="109" t="str">
        <f t="shared" si="18"/>
        <v/>
      </c>
      <c r="AK65" s="109" t="str">
        <f t="shared" si="19"/>
        <v/>
      </c>
      <c r="AL65" s="109" t="str">
        <f t="shared" si="20"/>
        <v/>
      </c>
      <c r="AM65" s="109" t="str">
        <f t="shared" si="21"/>
        <v/>
      </c>
      <c r="AN65" s="109" t="str">
        <f t="shared" si="22"/>
        <v/>
      </c>
      <c r="AO65" s="109" t="str">
        <f t="shared" si="23"/>
        <v/>
      </c>
      <c r="AP65" s="754" t="str">
        <f t="shared" si="24"/>
        <v/>
      </c>
      <c r="AQ65" s="755" t="str">
        <f t="shared" si="25"/>
        <v/>
      </c>
      <c r="AR65" s="195" t="str">
        <f t="shared" si="26"/>
        <v/>
      </c>
      <c r="AS65" s="195" t="str">
        <f t="shared" si="27"/>
        <v/>
      </c>
      <c r="AT65" s="664" t="str">
        <f t="shared" si="28"/>
        <v/>
      </c>
      <c r="AU65" s="756" t="str">
        <f t="shared" si="29"/>
        <v/>
      </c>
      <c r="AV65" s="195" t="str">
        <f t="shared" si="30"/>
        <v/>
      </c>
      <c r="AW65" s="195" t="str">
        <f t="shared" si="31"/>
        <v/>
      </c>
      <c r="AX65" s="195" t="str">
        <f t="shared" si="32"/>
        <v/>
      </c>
      <c r="AY65" s="728" t="str">
        <f t="shared" si="33"/>
        <v/>
      </c>
      <c r="AZ65" s="195" t="str">
        <f t="shared" si="34"/>
        <v/>
      </c>
      <c r="BA65" s="195" t="str">
        <f t="shared" si="35"/>
        <v/>
      </c>
      <c r="BB65" s="195" t="str">
        <f t="shared" si="36"/>
        <v/>
      </c>
      <c r="BC65" s="195" t="str">
        <f t="shared" si="37"/>
        <v/>
      </c>
      <c r="BD65" s="112" t="str">
        <f t="shared" si="38"/>
        <v/>
      </c>
      <c r="BE65" s="109" t="str">
        <f t="shared" si="39"/>
        <v/>
      </c>
      <c r="BF65" s="602"/>
      <c r="BG65" s="113" t="str">
        <f t="shared" si="40"/>
        <v/>
      </c>
      <c r="BH65" s="113" t="str">
        <f t="shared" si="41"/>
        <v/>
      </c>
      <c r="BI65" s="113" t="str">
        <f t="shared" si="42"/>
        <v/>
      </c>
      <c r="BJ65" s="281" t="str" cm="1">
        <f t="array" ref="BJ65">IF($AH65="","",
_xlfn.IFS(
$BE65="Devis 1",
IF(ISBLANK(AR65),"",IFERROR(VALUE(TRIM(SUBSTITUTE(AR65,CHAR(160),""))),0)*IFERROR(VALUE(TRIM(SUBSTITUTE($AH65,CHAR(160),""))),0)),
$BE65="Devis 2",
IF(ISBLANK(AW65),"",IFERROR(VALUE(TRIM(SUBSTITUTE(AW65,CHAR(160),""))),0)*IFERROR(VALUE(TRIM(SUBSTITUTE($AH65,CHAR(160),""))),0)),
$BE65="Devis 3",
IF(ISBLANK(BB65),"",IFERROR(VALUE(TRIM(SUBSTITUTE(BB65,CHAR(160),""))),0)*IFERROR(VALUE(TRIM(SUBSTITUTE($AH65,CHAR(160),""))),0)),
TRUE,0
)
)</f>
        <v/>
      </c>
      <c r="BK65" s="281" t="str" cm="1">
        <f t="array" ref="BK65">IF($AH65="","",
_xlfn.IFS(
$BE65="Devis 1",
IF(ISBLANK(AS65),"",IFERROR(VALUE(TRIM(SUBSTITUTE(AS65,CHAR(160),""))),0)*IFERROR(VALUE(TRIM(SUBSTITUTE($AH65,CHAR(160),""))),0)),
$BE65="Devis 2",
IF(ISBLANK(AX65),"",IFERROR(VALUE(TRIM(SUBSTITUTE(AX65,CHAR(160),""))),0)*IFERROR(VALUE(TRIM(SUBSTITUTE($AH65,CHAR(160),""))),0)),
$BE65="Devis 3",
IF(ISBLANK(BC65),"",IFERROR(VALUE(TRIM(SUBSTITUTE(BC65,CHAR(160),""))),0)*IFERROR(VALUE(TRIM(SUBSTITUTE($AH65,CHAR(160),""))),0)),
TRUE,0
)
)</f>
        <v/>
      </c>
      <c r="BL65" s="281" t="str">
        <f t="shared" si="43"/>
        <v/>
      </c>
      <c r="BM65" s="602"/>
      <c r="BN65" s="23" t="str" cm="1">
        <f t="array" ref="BN65">IF(OR(BL65="",BI65="",BJ65="",BG65="",BK65="",BH65=""),"",_xlfn.IFS(
ROUND(IFERROR(VALUE(TRIM(SUBSTITUTE(BL65,CHAR(160),""))),0),2)&gt;
ROUND(IFERROR(VALUE(TRIM(SUBSTITUTE(BI65,CHAR(160),""))),0),2),
"KO : Le montant retenu TTC est supérieur au montant raisonnable TTC. Merci de revoir la ligne de dépense ou plafonner son montant.",
ROUND(IFERROR(VALUE(TRIM(SUBSTITUTE(BJ65,CHAR(160),""))),0),2)&gt;
ROUND(IFERROR(VALUE(TRIM(SUBSTITUTE(BG65,CHAR(160),""))),0),2),
"Attention : Le montant retenu HT est supérieur au montant HT raisonnable. Merci de revoir la ligne de dépense, plafonner son montant, ou justifier la reventillation HT / TVA.",
ROUND(IFERROR(VALUE(TRIM(SUBSTITUTE(BK65,CHAR(160),""))),0),2)&gt;
ROUND(IFERROR(VALUE(TRIM(SUBSTITUTE(BH65,CHAR(160),""))),0),2),
"Attention : Le montant TVA retenu est supérieur au montant TVA raisonnable. Merci de revoir la ligne de dépense, plafonner son montant, ou justifier la reventillation HT / TVA.",
ROUND(IFERROR(VALUE(TRIM(SUBSTITUTE(BL65,CHAR(160),""))),0),2)&gt;
ROUND(IFERROR(VALUE(TRIM(SUBSTITUTE(MIN(P65,U65,Z65),CHAR(160),""))),0),2),
"Attention : Le devis retenu n'est pas le moins cher. Une justification de la part du porteur est nécessaire.",
ROUND(IFERROR(VALUE(TRIM(SUBSTITUTE(BL65,CHAR(160),""))),0),2)=0,
"Attention : montant présenté entièrement écarté",
ROUND(IFERROR(VALUE(TRIM(SUBSTITUTE(BI65,CHAR(160),""))),0),2)=
ROUND(IFERROR(VALUE(TRIM(SUBSTITUTE(BL65,CHAR(160),""))),0),2),
"OK",
ROUND(IFERROR(VALUE(TRIM(SUBSTITUTE(BI65,CHAR(160),""))),0),2)&gt;
ROUND(IFERROR(VALUE(TRIM(SUBSTITUTE(BL65,CHAR(160),""))),0),2),
" OK : Montant instruit inférieur au montant raisonnable.",
TRUE,""
))</f>
        <v/>
      </c>
      <c r="BO65" s="23" t="str" cm="1">
        <f t="array" ref="BO65">IF(OR(BL65="",AD65="",BJ65="",AB65="",BK65="",AC65=""),"",_xlfn.IFS(
ROUND(IFERROR(VALUE(TRIM(SUBSTITUTE(BL65,CHAR(160),""))),0),2)&gt;
ROUND(IFERROR(VALUE(TRIM(SUBSTITUTE(AD65,CHAR(160),""))),0),2),
"KO : Le montant retenu TTC est supérieur au montant présenté TTC. Merci de revoir la ligne de dépense ou plafonner son montant.",
ROUND(IFERROR(VALUE(TRIM(SUBSTITUTE(BJ65,CHAR(160),""))),0),2)&gt;
ROUND(IFERROR(VALUE(TRIM(SUBSTITUTE(AB65,CHAR(160),""))),0),2),
"Attention : Le montant retenu HT est supérieur au montant HT présenté. Merci de revoir la ligne de dépense, plafonner son montant, ou justifier la reventillation HT / TVA.",
ROUND(IFERROR(VALUE(TRIM(SUBSTITUTE(BK65,CHAR(160),""))),0),2)&gt;
ROUND(IFERROR(VALUE(TRIM(SUBSTITUTE(AC65,CHAR(160),""))),0),2),
"Attention : Le montant TVA retenu est supérieur au montant TVA présenté. Merci de revoir la ligne de dépense, plafonner son montant, ou justifier la reventillation HT / TVA.",
ROUND(IFERROR(VALUE(TRIM(SUBSTITUTE(AD65,CHAR(160),""))),0),2)=0,
"",
ROUND(IFERROR(VALUE(TRIM(SUBSTITUTE(BL65,CHAR(160),""))),0),2)=
ROUND(IFERROR(VALUE(TRIM(SUBSTITUTE(AD65,CHAR(160),""))),0),2),
"OK",
ROUND(IFERROR(VALUE(TRIM(SUBSTITUTE(BL65,CHAR(160),""))),0),2)=0,
"Attention : Montant présenté entièrement rejeté.",
ROUND(IFERROR(VALUE(TRIM(SUBSTITUTE(BL65,CHAR(160),""))),0),2)&lt;
ROUND(IFERROR(VALUE(TRIM(SUBSTITUTE(AD65,CHAR(160),""))),0),2),
"Attention : Montant présenté partiellement rejeté.",
TRUE,""
))</f>
        <v/>
      </c>
      <c r="BP65" s="113" t="str">
        <f t="shared" si="44"/>
        <v/>
      </c>
      <c r="BQ65" s="113" t="str">
        <f t="shared" si="45"/>
        <v/>
      </c>
      <c r="BR65" s="33" t="str">
        <f t="shared" si="46"/>
        <v/>
      </c>
    </row>
    <row r="66" spans="1:70" ht="15" customHeight="1">
      <c r="A66" s="193">
        <v>58</v>
      </c>
      <c r="B66" s="7"/>
      <c r="C66" s="7"/>
      <c r="D66" s="19"/>
      <c r="E66" s="7"/>
      <c r="F66" s="7"/>
      <c r="G66" s="7"/>
      <c r="H66" s="7"/>
      <c r="I66" s="28"/>
      <c r="J66" s="7"/>
      <c r="K66" s="29"/>
      <c r="L66" s="678"/>
      <c r="M66" s="7"/>
      <c r="N66" s="672"/>
      <c r="O66" s="11"/>
      <c r="P66" s="107" t="str">
        <f t="shared" si="48"/>
        <v/>
      </c>
      <c r="Q66" s="699"/>
      <c r="R66" s="702"/>
      <c r="S66" s="684"/>
      <c r="T66" s="11"/>
      <c r="U66" s="107" t="str">
        <f t="shared" si="49"/>
        <v/>
      </c>
      <c r="V66" s="695"/>
      <c r="W66" s="685"/>
      <c r="X66" s="707"/>
      <c r="Y66" s="684"/>
      <c r="Z66" s="108" t="str">
        <f t="shared" si="50"/>
        <v/>
      </c>
      <c r="AA66" s="25"/>
      <c r="AB66" s="287" t="str" cm="1">
        <f t="array" ref="AB66">IF((_xlfn.IFS(TRIM(SUBSTITUTE(AA66,CHAR(160),""))="Devis 1",IFERROR(VALUE(TRIM(SUBSTITUTE(N66,CHAR(160),""))),0),TRIM(SUBSTITUTE(AA66,CHAR(160),""))="Devis 2",IFERROR(VALUE(TRIM(SUBSTITUTE(S66,CHAR(160),""))),0),TRIM(SUBSTITUTE(AA66,CHAR(160),""))="Devis 3",IFERROR(VALUE(TRIM(SUBSTITUTE(X66,CHAR(160),""))),0),TRUE,0)*IFERROR(VALUE(TRIM(SUBSTITUTE(D66,CHAR(160),""))),0))=0,"",_xlfn.IFS(TRIM(SUBSTITUTE(AA66,CHAR(160),""))="Devis 1",IFERROR(VALUE(TRIM(SUBSTITUTE(N66,CHAR(160),""))),0),TRIM(SUBSTITUTE(AA66,CHAR(160),""))="Devis 2",IFERROR(VALUE(TRIM(SUBSTITUTE(S66,CHAR(160),""))),0),TRIM(SUBSTITUTE(AA66,CHAR(160),""))="Devis 3",IFERROR(VALUE(TRIM(SUBSTITUTE(X66,CHAR(160),""))),0),TRUE,0)*IFERROR(VALUE(TRIM(SUBSTITUTE(D66,CHAR(160),""))),0))</f>
        <v/>
      </c>
      <c r="AC66" s="275" t="str" cm="1">
        <f t="array" ref="AC66">IF(_xlfn.IFS(TRIM(SUBSTITUTE(AA66,CHAR(160),""))="Devis 1",IFERROR(VALUE(TRIM(SUBSTITUTE(O66,CHAR(160),""))),0),TRIM(SUBSTITUTE(AA66,CHAR(160),""))="Devis 2",IFERROR(VALUE(TRIM(SUBSTITUTE(T66,CHAR(160),""))),0),TRIM(SUBSTITUTE(AA66,CHAR(160),""))="Devis 3",IFERROR(VALUE(TRIM(SUBSTITUTE(Y66,CHAR(160),""))),0),TRUE,0)*IFERROR(VALUE(TRIM(SUBSTITUTE(D66,CHAR(160),""))),0)=0,IF(AB66&lt;&gt;"",0,""),_xlfn.IFS(TRIM(SUBSTITUTE(AA66,CHAR(160),""))="Devis 1",IFERROR(VALUE(TRIM(SUBSTITUTE(O66,CHAR(160),""))),0),TRIM(SUBSTITUTE(AA66,CHAR(160),""))="Devis 2",IFERROR(VALUE(TRIM(SUBSTITUTE(T66,CHAR(160),""))),0),TRIM(SUBSTITUTE(AA66,CHAR(160),""))="Devis 3",IFERROR(VALUE(TRIM(SUBSTITUTE(Y66,CHAR(160),""))),0),TRUE,0)*IFERROR(VALUE(TRIM(SUBSTITUTE(D66,CHAR(160),""))),0))</f>
        <v/>
      </c>
      <c r="AD66" s="285" t="str">
        <f t="shared" si="51"/>
        <v/>
      </c>
      <c r="AE66" s="26"/>
      <c r="AF66" s="109" t="str">
        <f t="shared" si="14"/>
        <v/>
      </c>
      <c r="AG66" s="109" t="str">
        <f t="shared" si="15"/>
        <v/>
      </c>
      <c r="AH66" s="885" t="str">
        <f t="shared" si="16"/>
        <v/>
      </c>
      <c r="AI66" s="109" t="str">
        <f t="shared" si="17"/>
        <v/>
      </c>
      <c r="AJ66" s="109" t="str">
        <f t="shared" si="18"/>
        <v/>
      </c>
      <c r="AK66" s="109" t="str">
        <f t="shared" si="19"/>
        <v/>
      </c>
      <c r="AL66" s="109" t="str">
        <f t="shared" si="20"/>
        <v/>
      </c>
      <c r="AM66" s="109" t="str">
        <f t="shared" si="21"/>
        <v/>
      </c>
      <c r="AN66" s="109" t="str">
        <f t="shared" si="22"/>
        <v/>
      </c>
      <c r="AO66" s="109" t="str">
        <f t="shared" si="23"/>
        <v/>
      </c>
      <c r="AP66" s="754" t="str">
        <f t="shared" si="24"/>
        <v/>
      </c>
      <c r="AQ66" s="755" t="str">
        <f t="shared" si="25"/>
        <v/>
      </c>
      <c r="AR66" s="195" t="str">
        <f t="shared" si="26"/>
        <v/>
      </c>
      <c r="AS66" s="195" t="str">
        <f t="shared" si="27"/>
        <v/>
      </c>
      <c r="AT66" s="664" t="str">
        <f t="shared" si="28"/>
        <v/>
      </c>
      <c r="AU66" s="756" t="str">
        <f t="shared" si="29"/>
        <v/>
      </c>
      <c r="AV66" s="195" t="str">
        <f t="shared" si="30"/>
        <v/>
      </c>
      <c r="AW66" s="195" t="str">
        <f t="shared" si="31"/>
        <v/>
      </c>
      <c r="AX66" s="195" t="str">
        <f t="shared" si="32"/>
        <v/>
      </c>
      <c r="AY66" s="728" t="str">
        <f t="shared" si="33"/>
        <v/>
      </c>
      <c r="AZ66" s="195" t="str">
        <f t="shared" si="34"/>
        <v/>
      </c>
      <c r="BA66" s="195" t="str">
        <f t="shared" si="35"/>
        <v/>
      </c>
      <c r="BB66" s="195" t="str">
        <f t="shared" si="36"/>
        <v/>
      </c>
      <c r="BC66" s="195" t="str">
        <f t="shared" si="37"/>
        <v/>
      </c>
      <c r="BD66" s="112" t="str">
        <f t="shared" si="38"/>
        <v/>
      </c>
      <c r="BE66" s="109" t="str">
        <f t="shared" si="39"/>
        <v/>
      </c>
      <c r="BF66" s="602"/>
      <c r="BG66" s="113" t="str">
        <f t="shared" si="40"/>
        <v/>
      </c>
      <c r="BH66" s="113" t="str">
        <f t="shared" si="41"/>
        <v/>
      </c>
      <c r="BI66" s="113" t="str">
        <f t="shared" si="42"/>
        <v/>
      </c>
      <c r="BJ66" s="281" t="str" cm="1">
        <f t="array" ref="BJ66">IF($AH66="","",
_xlfn.IFS(
$BE66="Devis 1",
IF(ISBLANK(AR66),"",IFERROR(VALUE(TRIM(SUBSTITUTE(AR66,CHAR(160),""))),0)*IFERROR(VALUE(TRIM(SUBSTITUTE($AH66,CHAR(160),""))),0)),
$BE66="Devis 2",
IF(ISBLANK(AW66),"",IFERROR(VALUE(TRIM(SUBSTITUTE(AW66,CHAR(160),""))),0)*IFERROR(VALUE(TRIM(SUBSTITUTE($AH66,CHAR(160),""))),0)),
$BE66="Devis 3",
IF(ISBLANK(BB66),"",IFERROR(VALUE(TRIM(SUBSTITUTE(BB66,CHAR(160),""))),0)*IFERROR(VALUE(TRIM(SUBSTITUTE($AH66,CHAR(160),""))),0)),
TRUE,0
)
)</f>
        <v/>
      </c>
      <c r="BK66" s="281" t="str" cm="1">
        <f t="array" ref="BK66">IF($AH66="","",
_xlfn.IFS(
$BE66="Devis 1",
IF(ISBLANK(AS66),"",IFERROR(VALUE(TRIM(SUBSTITUTE(AS66,CHAR(160),""))),0)*IFERROR(VALUE(TRIM(SUBSTITUTE($AH66,CHAR(160),""))),0)),
$BE66="Devis 2",
IF(ISBLANK(AX66),"",IFERROR(VALUE(TRIM(SUBSTITUTE(AX66,CHAR(160),""))),0)*IFERROR(VALUE(TRIM(SUBSTITUTE($AH66,CHAR(160),""))),0)),
$BE66="Devis 3",
IF(ISBLANK(BC66),"",IFERROR(VALUE(TRIM(SUBSTITUTE(BC66,CHAR(160),""))),0)*IFERROR(VALUE(TRIM(SUBSTITUTE($AH66,CHAR(160),""))),0)),
TRUE,0
)
)</f>
        <v/>
      </c>
      <c r="BL66" s="281" t="str">
        <f t="shared" si="43"/>
        <v/>
      </c>
      <c r="BM66" s="602"/>
      <c r="BN66" s="23" t="str" cm="1">
        <f t="array" ref="BN66">IF(OR(BL66="",BI66="",BJ66="",BG66="",BK66="",BH66=""),"",_xlfn.IFS(
ROUND(IFERROR(VALUE(TRIM(SUBSTITUTE(BL66,CHAR(160),""))),0),2)&gt;
ROUND(IFERROR(VALUE(TRIM(SUBSTITUTE(BI66,CHAR(160),""))),0),2),
"KO : Le montant retenu TTC est supérieur au montant raisonnable TTC. Merci de revoir la ligne de dépense ou plafonner son montant.",
ROUND(IFERROR(VALUE(TRIM(SUBSTITUTE(BJ66,CHAR(160),""))),0),2)&gt;
ROUND(IFERROR(VALUE(TRIM(SUBSTITUTE(BG66,CHAR(160),""))),0),2),
"Attention : Le montant retenu HT est supérieur au montant HT raisonnable. Merci de revoir la ligne de dépense, plafonner son montant, ou justifier la reventillation HT / TVA.",
ROUND(IFERROR(VALUE(TRIM(SUBSTITUTE(BK66,CHAR(160),""))),0),2)&gt;
ROUND(IFERROR(VALUE(TRIM(SUBSTITUTE(BH66,CHAR(160),""))),0),2),
"Attention : Le montant TVA retenu est supérieur au montant TVA raisonnable. Merci de revoir la ligne de dépense, plafonner son montant, ou justifier la reventillation HT / TVA.",
ROUND(IFERROR(VALUE(TRIM(SUBSTITUTE(BL66,CHAR(160),""))),0),2)&gt;
ROUND(IFERROR(VALUE(TRIM(SUBSTITUTE(MIN(P66,U66,Z66),CHAR(160),""))),0),2),
"Attention : Le devis retenu n'est pas le moins cher. Une justification de la part du porteur est nécessaire.",
ROUND(IFERROR(VALUE(TRIM(SUBSTITUTE(BL66,CHAR(160),""))),0),2)=0,
"Attention : montant présenté entièrement écarté",
ROUND(IFERROR(VALUE(TRIM(SUBSTITUTE(BI66,CHAR(160),""))),0),2)=
ROUND(IFERROR(VALUE(TRIM(SUBSTITUTE(BL66,CHAR(160),""))),0),2),
"OK",
ROUND(IFERROR(VALUE(TRIM(SUBSTITUTE(BI66,CHAR(160),""))),0),2)&gt;
ROUND(IFERROR(VALUE(TRIM(SUBSTITUTE(BL66,CHAR(160),""))),0),2),
" OK : Montant instruit inférieur au montant raisonnable.",
TRUE,""
))</f>
        <v/>
      </c>
      <c r="BO66" s="23" t="str" cm="1">
        <f t="array" ref="BO66">IF(OR(BL66="",AD66="",BJ66="",AB66="",BK66="",AC66=""),"",_xlfn.IFS(
ROUND(IFERROR(VALUE(TRIM(SUBSTITUTE(BL66,CHAR(160),""))),0),2)&gt;
ROUND(IFERROR(VALUE(TRIM(SUBSTITUTE(AD66,CHAR(160),""))),0),2),
"KO : Le montant retenu TTC est supérieur au montant présenté TTC. Merci de revoir la ligne de dépense ou plafonner son montant.",
ROUND(IFERROR(VALUE(TRIM(SUBSTITUTE(BJ66,CHAR(160),""))),0),2)&gt;
ROUND(IFERROR(VALUE(TRIM(SUBSTITUTE(AB66,CHAR(160),""))),0),2),
"Attention : Le montant retenu HT est supérieur au montant HT présenté. Merci de revoir la ligne de dépense, plafonner son montant, ou justifier la reventillation HT / TVA.",
ROUND(IFERROR(VALUE(TRIM(SUBSTITUTE(BK66,CHAR(160),""))),0),2)&gt;
ROUND(IFERROR(VALUE(TRIM(SUBSTITUTE(AC66,CHAR(160),""))),0),2),
"Attention : Le montant TVA retenu est supérieur au montant TVA présenté. Merci de revoir la ligne de dépense, plafonner son montant, ou justifier la reventillation HT / TVA.",
ROUND(IFERROR(VALUE(TRIM(SUBSTITUTE(AD66,CHAR(160),""))),0),2)=0,
"",
ROUND(IFERROR(VALUE(TRIM(SUBSTITUTE(BL66,CHAR(160),""))),0),2)=
ROUND(IFERROR(VALUE(TRIM(SUBSTITUTE(AD66,CHAR(160),""))),0),2),
"OK",
ROUND(IFERROR(VALUE(TRIM(SUBSTITUTE(BL66,CHAR(160),""))),0),2)=0,
"Attention : Montant présenté entièrement rejeté.",
ROUND(IFERROR(VALUE(TRIM(SUBSTITUTE(BL66,CHAR(160),""))),0),2)&lt;
ROUND(IFERROR(VALUE(TRIM(SUBSTITUTE(AD66,CHAR(160),""))),0),2),
"Attention : Montant présenté partiellement rejeté.",
TRUE,""
))</f>
        <v/>
      </c>
      <c r="BP66" s="113" t="str">
        <f t="shared" si="44"/>
        <v/>
      </c>
      <c r="BQ66" s="113" t="str">
        <f t="shared" si="45"/>
        <v/>
      </c>
      <c r="BR66" s="33" t="str">
        <f t="shared" si="46"/>
        <v/>
      </c>
    </row>
    <row r="67" spans="1:70" ht="15" customHeight="1">
      <c r="A67" s="193">
        <v>59</v>
      </c>
      <c r="B67" s="7"/>
      <c r="C67" s="7"/>
      <c r="D67" s="19"/>
      <c r="E67" s="7"/>
      <c r="F67" s="7"/>
      <c r="G67" s="7"/>
      <c r="H67" s="7"/>
      <c r="I67" s="28"/>
      <c r="J67" s="7"/>
      <c r="K67" s="29"/>
      <c r="L67" s="678"/>
      <c r="M67" s="7"/>
      <c r="N67" s="672"/>
      <c r="O67" s="11"/>
      <c r="P67" s="107" t="str">
        <f t="shared" si="48"/>
        <v/>
      </c>
      <c r="Q67" s="699"/>
      <c r="R67" s="702"/>
      <c r="S67" s="684"/>
      <c r="T67" s="11"/>
      <c r="U67" s="107" t="str">
        <f t="shared" si="49"/>
        <v/>
      </c>
      <c r="V67" s="695"/>
      <c r="W67" s="685"/>
      <c r="X67" s="707"/>
      <c r="Y67" s="684"/>
      <c r="Z67" s="108" t="str">
        <f t="shared" si="50"/>
        <v/>
      </c>
      <c r="AA67" s="25"/>
      <c r="AB67" s="287" t="str" cm="1">
        <f t="array" ref="AB67">IF((_xlfn.IFS(TRIM(SUBSTITUTE(AA67,CHAR(160),""))="Devis 1",IFERROR(VALUE(TRIM(SUBSTITUTE(N67,CHAR(160),""))),0),TRIM(SUBSTITUTE(AA67,CHAR(160),""))="Devis 2",IFERROR(VALUE(TRIM(SUBSTITUTE(S67,CHAR(160),""))),0),TRIM(SUBSTITUTE(AA67,CHAR(160),""))="Devis 3",IFERROR(VALUE(TRIM(SUBSTITUTE(X67,CHAR(160),""))),0),TRUE,0)*IFERROR(VALUE(TRIM(SUBSTITUTE(D67,CHAR(160),""))),0))=0,"",_xlfn.IFS(TRIM(SUBSTITUTE(AA67,CHAR(160),""))="Devis 1",IFERROR(VALUE(TRIM(SUBSTITUTE(N67,CHAR(160),""))),0),TRIM(SUBSTITUTE(AA67,CHAR(160),""))="Devis 2",IFERROR(VALUE(TRIM(SUBSTITUTE(S67,CHAR(160),""))),0),TRIM(SUBSTITUTE(AA67,CHAR(160),""))="Devis 3",IFERROR(VALUE(TRIM(SUBSTITUTE(X67,CHAR(160),""))),0),TRUE,0)*IFERROR(VALUE(TRIM(SUBSTITUTE(D67,CHAR(160),""))),0))</f>
        <v/>
      </c>
      <c r="AC67" s="275" t="str" cm="1">
        <f t="array" ref="AC67">IF(_xlfn.IFS(TRIM(SUBSTITUTE(AA67,CHAR(160),""))="Devis 1",IFERROR(VALUE(TRIM(SUBSTITUTE(O67,CHAR(160),""))),0),TRIM(SUBSTITUTE(AA67,CHAR(160),""))="Devis 2",IFERROR(VALUE(TRIM(SUBSTITUTE(T67,CHAR(160),""))),0),TRIM(SUBSTITUTE(AA67,CHAR(160),""))="Devis 3",IFERROR(VALUE(TRIM(SUBSTITUTE(Y67,CHAR(160),""))),0),TRUE,0)*IFERROR(VALUE(TRIM(SUBSTITUTE(D67,CHAR(160),""))),0)=0,IF(AB67&lt;&gt;"",0,""),_xlfn.IFS(TRIM(SUBSTITUTE(AA67,CHAR(160),""))="Devis 1",IFERROR(VALUE(TRIM(SUBSTITUTE(O67,CHAR(160),""))),0),TRIM(SUBSTITUTE(AA67,CHAR(160),""))="Devis 2",IFERROR(VALUE(TRIM(SUBSTITUTE(T67,CHAR(160),""))),0),TRIM(SUBSTITUTE(AA67,CHAR(160),""))="Devis 3",IFERROR(VALUE(TRIM(SUBSTITUTE(Y67,CHAR(160),""))),0),TRUE,0)*IFERROR(VALUE(TRIM(SUBSTITUTE(D67,CHAR(160),""))),0))</f>
        <v/>
      </c>
      <c r="AD67" s="285" t="str">
        <f t="shared" si="51"/>
        <v/>
      </c>
      <c r="AE67" s="26"/>
      <c r="AF67" s="109" t="str">
        <f t="shared" si="14"/>
        <v/>
      </c>
      <c r="AG67" s="109" t="str">
        <f t="shared" si="15"/>
        <v/>
      </c>
      <c r="AH67" s="885" t="str">
        <f t="shared" si="16"/>
        <v/>
      </c>
      <c r="AI67" s="109" t="str">
        <f t="shared" si="17"/>
        <v/>
      </c>
      <c r="AJ67" s="109" t="str">
        <f t="shared" si="18"/>
        <v/>
      </c>
      <c r="AK67" s="109" t="str">
        <f t="shared" si="19"/>
        <v/>
      </c>
      <c r="AL67" s="109" t="str">
        <f t="shared" si="20"/>
        <v/>
      </c>
      <c r="AM67" s="109" t="str">
        <f t="shared" si="21"/>
        <v/>
      </c>
      <c r="AN67" s="109" t="str">
        <f t="shared" si="22"/>
        <v/>
      </c>
      <c r="AO67" s="109" t="str">
        <f t="shared" si="23"/>
        <v/>
      </c>
      <c r="AP67" s="754" t="str">
        <f t="shared" si="24"/>
        <v/>
      </c>
      <c r="AQ67" s="755" t="str">
        <f t="shared" si="25"/>
        <v/>
      </c>
      <c r="AR67" s="195" t="str">
        <f t="shared" si="26"/>
        <v/>
      </c>
      <c r="AS67" s="195" t="str">
        <f t="shared" si="27"/>
        <v/>
      </c>
      <c r="AT67" s="664" t="str">
        <f t="shared" si="28"/>
        <v/>
      </c>
      <c r="AU67" s="756" t="str">
        <f t="shared" si="29"/>
        <v/>
      </c>
      <c r="AV67" s="195" t="str">
        <f t="shared" si="30"/>
        <v/>
      </c>
      <c r="AW67" s="195" t="str">
        <f t="shared" si="31"/>
        <v/>
      </c>
      <c r="AX67" s="195" t="str">
        <f t="shared" si="32"/>
        <v/>
      </c>
      <c r="AY67" s="728" t="str">
        <f t="shared" si="33"/>
        <v/>
      </c>
      <c r="AZ67" s="195" t="str">
        <f t="shared" si="34"/>
        <v/>
      </c>
      <c r="BA67" s="195" t="str">
        <f t="shared" si="35"/>
        <v/>
      </c>
      <c r="BB67" s="195" t="str">
        <f t="shared" si="36"/>
        <v/>
      </c>
      <c r="BC67" s="195" t="str">
        <f t="shared" si="37"/>
        <v/>
      </c>
      <c r="BD67" s="112" t="str">
        <f t="shared" si="38"/>
        <v/>
      </c>
      <c r="BE67" s="109" t="str">
        <f t="shared" si="39"/>
        <v/>
      </c>
      <c r="BF67" s="602"/>
      <c r="BG67" s="113" t="str">
        <f t="shared" si="40"/>
        <v/>
      </c>
      <c r="BH67" s="113" t="str">
        <f t="shared" si="41"/>
        <v/>
      </c>
      <c r="BI67" s="113" t="str">
        <f t="shared" si="42"/>
        <v/>
      </c>
      <c r="BJ67" s="281" t="str" cm="1">
        <f t="array" ref="BJ67">IF($AH67="","",
_xlfn.IFS(
$BE67="Devis 1",
IF(ISBLANK(AR67),"",IFERROR(VALUE(TRIM(SUBSTITUTE(AR67,CHAR(160),""))),0)*IFERROR(VALUE(TRIM(SUBSTITUTE($AH67,CHAR(160),""))),0)),
$BE67="Devis 2",
IF(ISBLANK(AW67),"",IFERROR(VALUE(TRIM(SUBSTITUTE(AW67,CHAR(160),""))),0)*IFERROR(VALUE(TRIM(SUBSTITUTE($AH67,CHAR(160),""))),0)),
$BE67="Devis 3",
IF(ISBLANK(BB67),"",IFERROR(VALUE(TRIM(SUBSTITUTE(BB67,CHAR(160),""))),0)*IFERROR(VALUE(TRIM(SUBSTITUTE($AH67,CHAR(160),""))),0)),
TRUE,0
)
)</f>
        <v/>
      </c>
      <c r="BK67" s="281" t="str" cm="1">
        <f t="array" ref="BK67">IF($AH67="","",
_xlfn.IFS(
$BE67="Devis 1",
IF(ISBLANK(AS67),"",IFERROR(VALUE(TRIM(SUBSTITUTE(AS67,CHAR(160),""))),0)*IFERROR(VALUE(TRIM(SUBSTITUTE($AH67,CHAR(160),""))),0)),
$BE67="Devis 2",
IF(ISBLANK(AX67),"",IFERROR(VALUE(TRIM(SUBSTITUTE(AX67,CHAR(160),""))),0)*IFERROR(VALUE(TRIM(SUBSTITUTE($AH67,CHAR(160),""))),0)),
$BE67="Devis 3",
IF(ISBLANK(BC67),"",IFERROR(VALUE(TRIM(SUBSTITUTE(BC67,CHAR(160),""))),0)*IFERROR(VALUE(TRIM(SUBSTITUTE($AH67,CHAR(160),""))),0)),
TRUE,0
)
)</f>
        <v/>
      </c>
      <c r="BL67" s="281" t="str">
        <f t="shared" si="43"/>
        <v/>
      </c>
      <c r="BM67" s="602"/>
      <c r="BN67" s="23" t="str" cm="1">
        <f t="array" ref="BN67">IF(OR(BL67="",BI67="",BJ67="",BG67="",BK67="",BH67=""),"",_xlfn.IFS(
ROUND(IFERROR(VALUE(TRIM(SUBSTITUTE(BL67,CHAR(160),""))),0),2)&gt;
ROUND(IFERROR(VALUE(TRIM(SUBSTITUTE(BI67,CHAR(160),""))),0),2),
"KO : Le montant retenu TTC est supérieur au montant raisonnable TTC. Merci de revoir la ligne de dépense ou plafonner son montant.",
ROUND(IFERROR(VALUE(TRIM(SUBSTITUTE(BJ67,CHAR(160),""))),0),2)&gt;
ROUND(IFERROR(VALUE(TRIM(SUBSTITUTE(BG67,CHAR(160),""))),0),2),
"Attention : Le montant retenu HT est supérieur au montant HT raisonnable. Merci de revoir la ligne de dépense, plafonner son montant, ou justifier la reventillation HT / TVA.",
ROUND(IFERROR(VALUE(TRIM(SUBSTITUTE(BK67,CHAR(160),""))),0),2)&gt;
ROUND(IFERROR(VALUE(TRIM(SUBSTITUTE(BH67,CHAR(160),""))),0),2),
"Attention : Le montant TVA retenu est supérieur au montant TVA raisonnable. Merci de revoir la ligne de dépense, plafonner son montant, ou justifier la reventillation HT / TVA.",
ROUND(IFERROR(VALUE(TRIM(SUBSTITUTE(BL67,CHAR(160),""))),0),2)&gt;
ROUND(IFERROR(VALUE(TRIM(SUBSTITUTE(MIN(P67,U67,Z67),CHAR(160),""))),0),2),
"Attention : Le devis retenu n'est pas le moins cher. Une justification de la part du porteur est nécessaire.",
ROUND(IFERROR(VALUE(TRIM(SUBSTITUTE(BL67,CHAR(160),""))),0),2)=0,
"Attention : montant présenté entièrement écarté",
ROUND(IFERROR(VALUE(TRIM(SUBSTITUTE(BI67,CHAR(160),""))),0),2)=
ROUND(IFERROR(VALUE(TRIM(SUBSTITUTE(BL67,CHAR(160),""))),0),2),
"OK",
ROUND(IFERROR(VALUE(TRIM(SUBSTITUTE(BI67,CHAR(160),""))),0),2)&gt;
ROUND(IFERROR(VALUE(TRIM(SUBSTITUTE(BL67,CHAR(160),""))),0),2),
" OK : Montant instruit inférieur au montant raisonnable.",
TRUE,""
))</f>
        <v/>
      </c>
      <c r="BO67" s="23" t="str" cm="1">
        <f t="array" ref="BO67">IF(OR(BL67="",AD67="",BJ67="",AB67="",BK67="",AC67=""),"",_xlfn.IFS(
ROUND(IFERROR(VALUE(TRIM(SUBSTITUTE(BL67,CHAR(160),""))),0),2)&gt;
ROUND(IFERROR(VALUE(TRIM(SUBSTITUTE(AD67,CHAR(160),""))),0),2),
"KO : Le montant retenu TTC est supérieur au montant présenté TTC. Merci de revoir la ligne de dépense ou plafonner son montant.",
ROUND(IFERROR(VALUE(TRIM(SUBSTITUTE(BJ67,CHAR(160),""))),0),2)&gt;
ROUND(IFERROR(VALUE(TRIM(SUBSTITUTE(AB67,CHAR(160),""))),0),2),
"Attention : Le montant retenu HT est supérieur au montant HT présenté. Merci de revoir la ligne de dépense, plafonner son montant, ou justifier la reventillation HT / TVA.",
ROUND(IFERROR(VALUE(TRIM(SUBSTITUTE(BK67,CHAR(160),""))),0),2)&gt;
ROUND(IFERROR(VALUE(TRIM(SUBSTITUTE(AC67,CHAR(160),""))),0),2),
"Attention : Le montant TVA retenu est supérieur au montant TVA présenté. Merci de revoir la ligne de dépense, plafonner son montant, ou justifier la reventillation HT / TVA.",
ROUND(IFERROR(VALUE(TRIM(SUBSTITUTE(AD67,CHAR(160),""))),0),2)=0,
"",
ROUND(IFERROR(VALUE(TRIM(SUBSTITUTE(BL67,CHAR(160),""))),0),2)=
ROUND(IFERROR(VALUE(TRIM(SUBSTITUTE(AD67,CHAR(160),""))),0),2),
"OK",
ROUND(IFERROR(VALUE(TRIM(SUBSTITUTE(BL67,CHAR(160),""))),0),2)=0,
"Attention : Montant présenté entièrement rejeté.",
ROUND(IFERROR(VALUE(TRIM(SUBSTITUTE(BL67,CHAR(160),""))),0),2)&lt;
ROUND(IFERROR(VALUE(TRIM(SUBSTITUTE(AD67,CHAR(160),""))),0),2),
"Attention : Montant présenté partiellement rejeté.",
TRUE,""
))</f>
        <v/>
      </c>
      <c r="BP67" s="113" t="str">
        <f t="shared" si="44"/>
        <v/>
      </c>
      <c r="BQ67" s="113" t="str">
        <f t="shared" si="45"/>
        <v/>
      </c>
      <c r="BR67" s="33" t="str">
        <f t="shared" si="46"/>
        <v/>
      </c>
    </row>
    <row r="68" spans="1:70" ht="15" customHeight="1">
      <c r="A68" s="193">
        <v>60</v>
      </c>
      <c r="B68" s="7"/>
      <c r="C68" s="7"/>
      <c r="D68" s="19"/>
      <c r="E68" s="7"/>
      <c r="F68" s="7"/>
      <c r="G68" s="7"/>
      <c r="H68" s="7"/>
      <c r="I68" s="28"/>
      <c r="J68" s="7"/>
      <c r="K68" s="29"/>
      <c r="L68" s="678"/>
      <c r="M68" s="7"/>
      <c r="N68" s="672"/>
      <c r="O68" s="11"/>
      <c r="P68" s="107" t="str">
        <f t="shared" si="48"/>
        <v/>
      </c>
      <c r="Q68" s="699"/>
      <c r="R68" s="702"/>
      <c r="S68" s="684"/>
      <c r="T68" s="11"/>
      <c r="U68" s="107" t="str">
        <f t="shared" si="49"/>
        <v/>
      </c>
      <c r="V68" s="695"/>
      <c r="W68" s="685"/>
      <c r="X68" s="707"/>
      <c r="Y68" s="684"/>
      <c r="Z68" s="108" t="str">
        <f t="shared" si="50"/>
        <v/>
      </c>
      <c r="AA68" s="25"/>
      <c r="AB68" s="287" t="str" cm="1">
        <f t="array" ref="AB68">IF((_xlfn.IFS(TRIM(SUBSTITUTE(AA68,CHAR(160),""))="Devis 1",IFERROR(VALUE(TRIM(SUBSTITUTE(N68,CHAR(160),""))),0),TRIM(SUBSTITUTE(AA68,CHAR(160),""))="Devis 2",IFERROR(VALUE(TRIM(SUBSTITUTE(S68,CHAR(160),""))),0),TRIM(SUBSTITUTE(AA68,CHAR(160),""))="Devis 3",IFERROR(VALUE(TRIM(SUBSTITUTE(X68,CHAR(160),""))),0),TRUE,0)*IFERROR(VALUE(TRIM(SUBSTITUTE(D68,CHAR(160),""))),0))=0,"",_xlfn.IFS(TRIM(SUBSTITUTE(AA68,CHAR(160),""))="Devis 1",IFERROR(VALUE(TRIM(SUBSTITUTE(N68,CHAR(160),""))),0),TRIM(SUBSTITUTE(AA68,CHAR(160),""))="Devis 2",IFERROR(VALUE(TRIM(SUBSTITUTE(S68,CHAR(160),""))),0),TRIM(SUBSTITUTE(AA68,CHAR(160),""))="Devis 3",IFERROR(VALUE(TRIM(SUBSTITUTE(X68,CHAR(160),""))),0),TRUE,0)*IFERROR(VALUE(TRIM(SUBSTITUTE(D68,CHAR(160),""))),0))</f>
        <v/>
      </c>
      <c r="AC68" s="275" t="str" cm="1">
        <f t="array" ref="AC68">IF(_xlfn.IFS(TRIM(SUBSTITUTE(AA68,CHAR(160),""))="Devis 1",IFERROR(VALUE(TRIM(SUBSTITUTE(O68,CHAR(160),""))),0),TRIM(SUBSTITUTE(AA68,CHAR(160),""))="Devis 2",IFERROR(VALUE(TRIM(SUBSTITUTE(T68,CHAR(160),""))),0),TRIM(SUBSTITUTE(AA68,CHAR(160),""))="Devis 3",IFERROR(VALUE(TRIM(SUBSTITUTE(Y68,CHAR(160),""))),0),TRUE,0)*IFERROR(VALUE(TRIM(SUBSTITUTE(D68,CHAR(160),""))),0)=0,IF(AB68&lt;&gt;"",0,""),_xlfn.IFS(TRIM(SUBSTITUTE(AA68,CHAR(160),""))="Devis 1",IFERROR(VALUE(TRIM(SUBSTITUTE(O68,CHAR(160),""))),0),TRIM(SUBSTITUTE(AA68,CHAR(160),""))="Devis 2",IFERROR(VALUE(TRIM(SUBSTITUTE(T68,CHAR(160),""))),0),TRIM(SUBSTITUTE(AA68,CHAR(160),""))="Devis 3",IFERROR(VALUE(TRIM(SUBSTITUTE(Y68,CHAR(160),""))),0),TRUE,0)*IFERROR(VALUE(TRIM(SUBSTITUTE(D68,CHAR(160),""))),0))</f>
        <v/>
      </c>
      <c r="AD68" s="285" t="str">
        <f t="shared" si="51"/>
        <v/>
      </c>
      <c r="AE68" s="26"/>
      <c r="AF68" s="109" t="str">
        <f t="shared" si="14"/>
        <v/>
      </c>
      <c r="AG68" s="109" t="str">
        <f t="shared" si="15"/>
        <v/>
      </c>
      <c r="AH68" s="885" t="str">
        <f t="shared" si="16"/>
        <v/>
      </c>
      <c r="AI68" s="109" t="str">
        <f t="shared" si="17"/>
        <v/>
      </c>
      <c r="AJ68" s="109" t="str">
        <f t="shared" si="18"/>
        <v/>
      </c>
      <c r="AK68" s="109" t="str">
        <f t="shared" si="19"/>
        <v/>
      </c>
      <c r="AL68" s="109" t="str">
        <f t="shared" si="20"/>
        <v/>
      </c>
      <c r="AM68" s="109" t="str">
        <f t="shared" si="21"/>
        <v/>
      </c>
      <c r="AN68" s="109" t="str">
        <f t="shared" si="22"/>
        <v/>
      </c>
      <c r="AO68" s="109" t="str">
        <f t="shared" si="23"/>
        <v/>
      </c>
      <c r="AP68" s="754" t="str">
        <f t="shared" si="24"/>
        <v/>
      </c>
      <c r="AQ68" s="755" t="str">
        <f t="shared" si="25"/>
        <v/>
      </c>
      <c r="AR68" s="195" t="str">
        <f t="shared" si="26"/>
        <v/>
      </c>
      <c r="AS68" s="195" t="str">
        <f t="shared" si="27"/>
        <v/>
      </c>
      <c r="AT68" s="664" t="str">
        <f t="shared" si="28"/>
        <v/>
      </c>
      <c r="AU68" s="756" t="str">
        <f t="shared" si="29"/>
        <v/>
      </c>
      <c r="AV68" s="195" t="str">
        <f t="shared" si="30"/>
        <v/>
      </c>
      <c r="AW68" s="195" t="str">
        <f t="shared" si="31"/>
        <v/>
      </c>
      <c r="AX68" s="195" t="str">
        <f t="shared" si="32"/>
        <v/>
      </c>
      <c r="AY68" s="728" t="str">
        <f t="shared" si="33"/>
        <v/>
      </c>
      <c r="AZ68" s="195" t="str">
        <f t="shared" si="34"/>
        <v/>
      </c>
      <c r="BA68" s="195" t="str">
        <f t="shared" si="35"/>
        <v/>
      </c>
      <c r="BB68" s="195" t="str">
        <f t="shared" si="36"/>
        <v/>
      </c>
      <c r="BC68" s="195" t="str">
        <f t="shared" si="37"/>
        <v/>
      </c>
      <c r="BD68" s="112" t="str">
        <f t="shared" si="38"/>
        <v/>
      </c>
      <c r="BE68" s="109" t="str">
        <f t="shared" si="39"/>
        <v/>
      </c>
      <c r="BF68" s="602"/>
      <c r="BG68" s="113" t="str">
        <f t="shared" si="40"/>
        <v/>
      </c>
      <c r="BH68" s="113" t="str">
        <f t="shared" si="41"/>
        <v/>
      </c>
      <c r="BI68" s="113" t="str">
        <f t="shared" si="42"/>
        <v/>
      </c>
      <c r="BJ68" s="281" t="str" cm="1">
        <f t="array" ref="BJ68">IF($AH68="","",
_xlfn.IFS(
$BE68="Devis 1",
IF(ISBLANK(AR68),"",IFERROR(VALUE(TRIM(SUBSTITUTE(AR68,CHAR(160),""))),0)*IFERROR(VALUE(TRIM(SUBSTITUTE($AH68,CHAR(160),""))),0)),
$BE68="Devis 2",
IF(ISBLANK(AW68),"",IFERROR(VALUE(TRIM(SUBSTITUTE(AW68,CHAR(160),""))),0)*IFERROR(VALUE(TRIM(SUBSTITUTE($AH68,CHAR(160),""))),0)),
$BE68="Devis 3",
IF(ISBLANK(BB68),"",IFERROR(VALUE(TRIM(SUBSTITUTE(BB68,CHAR(160),""))),0)*IFERROR(VALUE(TRIM(SUBSTITUTE($AH68,CHAR(160),""))),0)),
TRUE,0
)
)</f>
        <v/>
      </c>
      <c r="BK68" s="281" t="str" cm="1">
        <f t="array" ref="BK68">IF($AH68="","",
_xlfn.IFS(
$BE68="Devis 1",
IF(ISBLANK(AS68),"",IFERROR(VALUE(TRIM(SUBSTITUTE(AS68,CHAR(160),""))),0)*IFERROR(VALUE(TRIM(SUBSTITUTE($AH68,CHAR(160),""))),0)),
$BE68="Devis 2",
IF(ISBLANK(AX68),"",IFERROR(VALUE(TRIM(SUBSTITUTE(AX68,CHAR(160),""))),0)*IFERROR(VALUE(TRIM(SUBSTITUTE($AH68,CHAR(160),""))),0)),
$BE68="Devis 3",
IF(ISBLANK(BC68),"",IFERROR(VALUE(TRIM(SUBSTITUTE(BC68,CHAR(160),""))),0)*IFERROR(VALUE(TRIM(SUBSTITUTE($AH68,CHAR(160),""))),0)),
TRUE,0
)
)</f>
        <v/>
      </c>
      <c r="BL68" s="281" t="str">
        <f t="shared" si="43"/>
        <v/>
      </c>
      <c r="BM68" s="602"/>
      <c r="BN68" s="23" t="str" cm="1">
        <f t="array" ref="BN68">IF(OR(BL68="",BI68="",BJ68="",BG68="",BK68="",BH68=""),"",_xlfn.IFS(
ROUND(IFERROR(VALUE(TRIM(SUBSTITUTE(BL68,CHAR(160),""))),0),2)&gt;
ROUND(IFERROR(VALUE(TRIM(SUBSTITUTE(BI68,CHAR(160),""))),0),2),
"KO : Le montant retenu TTC est supérieur au montant raisonnable TTC. Merci de revoir la ligne de dépense ou plafonner son montant.",
ROUND(IFERROR(VALUE(TRIM(SUBSTITUTE(BJ68,CHAR(160),""))),0),2)&gt;
ROUND(IFERROR(VALUE(TRIM(SUBSTITUTE(BG68,CHAR(160),""))),0),2),
"Attention : Le montant retenu HT est supérieur au montant HT raisonnable. Merci de revoir la ligne de dépense, plafonner son montant, ou justifier la reventillation HT / TVA.",
ROUND(IFERROR(VALUE(TRIM(SUBSTITUTE(BK68,CHAR(160),""))),0),2)&gt;
ROUND(IFERROR(VALUE(TRIM(SUBSTITUTE(BH68,CHAR(160),""))),0),2),
"Attention : Le montant TVA retenu est supérieur au montant TVA raisonnable. Merci de revoir la ligne de dépense, plafonner son montant, ou justifier la reventillation HT / TVA.",
ROUND(IFERROR(VALUE(TRIM(SUBSTITUTE(BL68,CHAR(160),""))),0),2)&gt;
ROUND(IFERROR(VALUE(TRIM(SUBSTITUTE(MIN(P68,U68,Z68),CHAR(160),""))),0),2),
"Attention : Le devis retenu n'est pas le moins cher. Une justification de la part du porteur est nécessaire.",
ROUND(IFERROR(VALUE(TRIM(SUBSTITUTE(BL68,CHAR(160),""))),0),2)=0,
"Attention : montant présenté entièrement écarté",
ROUND(IFERROR(VALUE(TRIM(SUBSTITUTE(BI68,CHAR(160),""))),0),2)=
ROUND(IFERROR(VALUE(TRIM(SUBSTITUTE(BL68,CHAR(160),""))),0),2),
"OK",
ROUND(IFERROR(VALUE(TRIM(SUBSTITUTE(BI68,CHAR(160),""))),0),2)&gt;
ROUND(IFERROR(VALUE(TRIM(SUBSTITUTE(BL68,CHAR(160),""))),0),2),
" OK : Montant instruit inférieur au montant raisonnable.",
TRUE,""
))</f>
        <v/>
      </c>
      <c r="BO68" s="23" t="str" cm="1">
        <f t="array" ref="BO68">IF(OR(BL68="",AD68="",BJ68="",AB68="",BK68="",AC68=""),"",_xlfn.IFS(
ROUND(IFERROR(VALUE(TRIM(SUBSTITUTE(BL68,CHAR(160),""))),0),2)&gt;
ROUND(IFERROR(VALUE(TRIM(SUBSTITUTE(AD68,CHAR(160),""))),0),2),
"KO : Le montant retenu TTC est supérieur au montant présenté TTC. Merci de revoir la ligne de dépense ou plafonner son montant.",
ROUND(IFERROR(VALUE(TRIM(SUBSTITUTE(BJ68,CHAR(160),""))),0),2)&gt;
ROUND(IFERROR(VALUE(TRIM(SUBSTITUTE(AB68,CHAR(160),""))),0),2),
"Attention : Le montant retenu HT est supérieur au montant HT présenté. Merci de revoir la ligne de dépense, plafonner son montant, ou justifier la reventillation HT / TVA.",
ROUND(IFERROR(VALUE(TRIM(SUBSTITUTE(BK68,CHAR(160),""))),0),2)&gt;
ROUND(IFERROR(VALUE(TRIM(SUBSTITUTE(AC68,CHAR(160),""))),0),2),
"Attention : Le montant TVA retenu est supérieur au montant TVA présenté. Merci de revoir la ligne de dépense, plafonner son montant, ou justifier la reventillation HT / TVA.",
ROUND(IFERROR(VALUE(TRIM(SUBSTITUTE(AD68,CHAR(160),""))),0),2)=0,
"",
ROUND(IFERROR(VALUE(TRIM(SUBSTITUTE(BL68,CHAR(160),""))),0),2)=
ROUND(IFERROR(VALUE(TRIM(SUBSTITUTE(AD68,CHAR(160),""))),0),2),
"OK",
ROUND(IFERROR(VALUE(TRIM(SUBSTITUTE(BL68,CHAR(160),""))),0),2)=0,
"Attention : Montant présenté entièrement rejeté.",
ROUND(IFERROR(VALUE(TRIM(SUBSTITUTE(BL68,CHAR(160),""))),0),2)&lt;
ROUND(IFERROR(VALUE(TRIM(SUBSTITUTE(AD68,CHAR(160),""))),0),2),
"Attention : Montant présenté partiellement rejeté.",
TRUE,""
))</f>
        <v/>
      </c>
      <c r="BP68" s="113" t="str">
        <f t="shared" si="44"/>
        <v/>
      </c>
      <c r="BQ68" s="113" t="str">
        <f t="shared" si="45"/>
        <v/>
      </c>
      <c r="BR68" s="33" t="str">
        <f t="shared" si="46"/>
        <v/>
      </c>
    </row>
    <row r="69" spans="1:70" ht="15" customHeight="1">
      <c r="A69" s="193">
        <v>61</v>
      </c>
      <c r="B69" s="7"/>
      <c r="C69" s="7"/>
      <c r="D69" s="19"/>
      <c r="E69" s="7"/>
      <c r="F69" s="7"/>
      <c r="G69" s="7"/>
      <c r="H69" s="7"/>
      <c r="I69" s="28"/>
      <c r="J69" s="7"/>
      <c r="K69" s="29"/>
      <c r="L69" s="678"/>
      <c r="M69" s="7"/>
      <c r="N69" s="672"/>
      <c r="O69" s="11"/>
      <c r="P69" s="107" t="str">
        <f t="shared" si="48"/>
        <v/>
      </c>
      <c r="Q69" s="699"/>
      <c r="R69" s="702"/>
      <c r="S69" s="684"/>
      <c r="T69" s="11"/>
      <c r="U69" s="107" t="str">
        <f t="shared" si="49"/>
        <v/>
      </c>
      <c r="V69" s="695"/>
      <c r="W69" s="685"/>
      <c r="X69" s="707"/>
      <c r="Y69" s="684"/>
      <c r="Z69" s="108" t="str">
        <f t="shared" si="50"/>
        <v/>
      </c>
      <c r="AA69" s="25"/>
      <c r="AB69" s="287" t="str" cm="1">
        <f t="array" ref="AB69">IF((_xlfn.IFS(TRIM(SUBSTITUTE(AA69,CHAR(160),""))="Devis 1",IFERROR(VALUE(TRIM(SUBSTITUTE(N69,CHAR(160),""))),0),TRIM(SUBSTITUTE(AA69,CHAR(160),""))="Devis 2",IFERROR(VALUE(TRIM(SUBSTITUTE(S69,CHAR(160),""))),0),TRIM(SUBSTITUTE(AA69,CHAR(160),""))="Devis 3",IFERROR(VALUE(TRIM(SUBSTITUTE(X69,CHAR(160),""))),0),TRUE,0)*IFERROR(VALUE(TRIM(SUBSTITUTE(D69,CHAR(160),""))),0))=0,"",_xlfn.IFS(TRIM(SUBSTITUTE(AA69,CHAR(160),""))="Devis 1",IFERROR(VALUE(TRIM(SUBSTITUTE(N69,CHAR(160),""))),0),TRIM(SUBSTITUTE(AA69,CHAR(160),""))="Devis 2",IFERROR(VALUE(TRIM(SUBSTITUTE(S69,CHAR(160),""))),0),TRIM(SUBSTITUTE(AA69,CHAR(160),""))="Devis 3",IFERROR(VALUE(TRIM(SUBSTITUTE(X69,CHAR(160),""))),0),TRUE,0)*IFERROR(VALUE(TRIM(SUBSTITUTE(D69,CHAR(160),""))),0))</f>
        <v/>
      </c>
      <c r="AC69" s="275" t="str" cm="1">
        <f t="array" ref="AC69">IF(_xlfn.IFS(TRIM(SUBSTITUTE(AA69,CHAR(160),""))="Devis 1",IFERROR(VALUE(TRIM(SUBSTITUTE(O69,CHAR(160),""))),0),TRIM(SUBSTITUTE(AA69,CHAR(160),""))="Devis 2",IFERROR(VALUE(TRIM(SUBSTITUTE(T69,CHAR(160),""))),0),TRIM(SUBSTITUTE(AA69,CHAR(160),""))="Devis 3",IFERROR(VALUE(TRIM(SUBSTITUTE(Y69,CHAR(160),""))),0),TRUE,0)*IFERROR(VALUE(TRIM(SUBSTITUTE(D69,CHAR(160),""))),0)=0,IF(AB69&lt;&gt;"",0,""),_xlfn.IFS(TRIM(SUBSTITUTE(AA69,CHAR(160),""))="Devis 1",IFERROR(VALUE(TRIM(SUBSTITUTE(O69,CHAR(160),""))),0),TRIM(SUBSTITUTE(AA69,CHAR(160),""))="Devis 2",IFERROR(VALUE(TRIM(SUBSTITUTE(T69,CHAR(160),""))),0),TRIM(SUBSTITUTE(AA69,CHAR(160),""))="Devis 3",IFERROR(VALUE(TRIM(SUBSTITUTE(Y69,CHAR(160),""))),0),TRUE,0)*IFERROR(VALUE(TRIM(SUBSTITUTE(D69,CHAR(160),""))),0))</f>
        <v/>
      </c>
      <c r="AD69" s="285" t="str">
        <f t="shared" si="51"/>
        <v/>
      </c>
      <c r="AE69" s="26"/>
      <c r="AF69" s="109" t="str">
        <f t="shared" si="14"/>
        <v/>
      </c>
      <c r="AG69" s="109" t="str">
        <f t="shared" si="15"/>
        <v/>
      </c>
      <c r="AH69" s="885" t="str">
        <f t="shared" si="16"/>
        <v/>
      </c>
      <c r="AI69" s="109" t="str">
        <f t="shared" si="17"/>
        <v/>
      </c>
      <c r="AJ69" s="109" t="str">
        <f t="shared" si="18"/>
        <v/>
      </c>
      <c r="AK69" s="109" t="str">
        <f t="shared" si="19"/>
        <v/>
      </c>
      <c r="AL69" s="109" t="str">
        <f t="shared" si="20"/>
        <v/>
      </c>
      <c r="AM69" s="109" t="str">
        <f t="shared" si="21"/>
        <v/>
      </c>
      <c r="AN69" s="109" t="str">
        <f t="shared" si="22"/>
        <v/>
      </c>
      <c r="AO69" s="109" t="str">
        <f t="shared" si="23"/>
        <v/>
      </c>
      <c r="AP69" s="754" t="str">
        <f t="shared" si="24"/>
        <v/>
      </c>
      <c r="AQ69" s="755" t="str">
        <f t="shared" si="25"/>
        <v/>
      </c>
      <c r="AR69" s="195" t="str">
        <f t="shared" si="26"/>
        <v/>
      </c>
      <c r="AS69" s="195" t="str">
        <f t="shared" si="27"/>
        <v/>
      </c>
      <c r="AT69" s="664" t="str">
        <f t="shared" si="28"/>
        <v/>
      </c>
      <c r="AU69" s="756" t="str">
        <f t="shared" si="29"/>
        <v/>
      </c>
      <c r="AV69" s="195" t="str">
        <f t="shared" si="30"/>
        <v/>
      </c>
      <c r="AW69" s="195" t="str">
        <f t="shared" si="31"/>
        <v/>
      </c>
      <c r="AX69" s="195" t="str">
        <f t="shared" si="32"/>
        <v/>
      </c>
      <c r="AY69" s="728" t="str">
        <f t="shared" si="33"/>
        <v/>
      </c>
      <c r="AZ69" s="195" t="str">
        <f t="shared" si="34"/>
        <v/>
      </c>
      <c r="BA69" s="195" t="str">
        <f t="shared" si="35"/>
        <v/>
      </c>
      <c r="BB69" s="195" t="str">
        <f t="shared" si="36"/>
        <v/>
      </c>
      <c r="BC69" s="195" t="str">
        <f t="shared" si="37"/>
        <v/>
      </c>
      <c r="BD69" s="112" t="str">
        <f t="shared" si="38"/>
        <v/>
      </c>
      <c r="BE69" s="109" t="str">
        <f t="shared" si="39"/>
        <v/>
      </c>
      <c r="BF69" s="602"/>
      <c r="BG69" s="113" t="str">
        <f t="shared" si="40"/>
        <v/>
      </c>
      <c r="BH69" s="113" t="str">
        <f t="shared" si="41"/>
        <v/>
      </c>
      <c r="BI69" s="113" t="str">
        <f t="shared" si="42"/>
        <v/>
      </c>
      <c r="BJ69" s="281" t="str" cm="1">
        <f t="array" ref="BJ69">IF($AH69="","",
_xlfn.IFS(
$BE69="Devis 1",
IF(ISBLANK(AR69),"",IFERROR(VALUE(TRIM(SUBSTITUTE(AR69,CHAR(160),""))),0)*IFERROR(VALUE(TRIM(SUBSTITUTE($AH69,CHAR(160),""))),0)),
$BE69="Devis 2",
IF(ISBLANK(AW69),"",IFERROR(VALUE(TRIM(SUBSTITUTE(AW69,CHAR(160),""))),0)*IFERROR(VALUE(TRIM(SUBSTITUTE($AH69,CHAR(160),""))),0)),
$BE69="Devis 3",
IF(ISBLANK(BB69),"",IFERROR(VALUE(TRIM(SUBSTITUTE(BB69,CHAR(160),""))),0)*IFERROR(VALUE(TRIM(SUBSTITUTE($AH69,CHAR(160),""))),0)),
TRUE,0
)
)</f>
        <v/>
      </c>
      <c r="BK69" s="281" t="str" cm="1">
        <f t="array" ref="BK69">IF($AH69="","",
_xlfn.IFS(
$BE69="Devis 1",
IF(ISBLANK(AS69),"",IFERROR(VALUE(TRIM(SUBSTITUTE(AS69,CHAR(160),""))),0)*IFERROR(VALUE(TRIM(SUBSTITUTE($AH69,CHAR(160),""))),0)),
$BE69="Devis 2",
IF(ISBLANK(AX69),"",IFERROR(VALUE(TRIM(SUBSTITUTE(AX69,CHAR(160),""))),0)*IFERROR(VALUE(TRIM(SUBSTITUTE($AH69,CHAR(160),""))),0)),
$BE69="Devis 3",
IF(ISBLANK(BC69),"",IFERROR(VALUE(TRIM(SUBSTITUTE(BC69,CHAR(160),""))),0)*IFERROR(VALUE(TRIM(SUBSTITUTE($AH69,CHAR(160),""))),0)),
TRUE,0
)
)</f>
        <v/>
      </c>
      <c r="BL69" s="281" t="str">
        <f t="shared" si="43"/>
        <v/>
      </c>
      <c r="BM69" s="602"/>
      <c r="BN69" s="23" t="str" cm="1">
        <f t="array" ref="BN69">IF(OR(BL69="",BI69="",BJ69="",BG69="",BK69="",BH69=""),"",_xlfn.IFS(
ROUND(IFERROR(VALUE(TRIM(SUBSTITUTE(BL69,CHAR(160),""))),0),2)&gt;
ROUND(IFERROR(VALUE(TRIM(SUBSTITUTE(BI69,CHAR(160),""))),0),2),
"KO : Le montant retenu TTC est supérieur au montant raisonnable TTC. Merci de revoir la ligne de dépense ou plafonner son montant.",
ROUND(IFERROR(VALUE(TRIM(SUBSTITUTE(BJ69,CHAR(160),""))),0),2)&gt;
ROUND(IFERROR(VALUE(TRIM(SUBSTITUTE(BG69,CHAR(160),""))),0),2),
"Attention : Le montant retenu HT est supérieur au montant HT raisonnable. Merci de revoir la ligne de dépense, plafonner son montant, ou justifier la reventillation HT / TVA.",
ROUND(IFERROR(VALUE(TRIM(SUBSTITUTE(BK69,CHAR(160),""))),0),2)&gt;
ROUND(IFERROR(VALUE(TRIM(SUBSTITUTE(BH69,CHAR(160),""))),0),2),
"Attention : Le montant TVA retenu est supérieur au montant TVA raisonnable. Merci de revoir la ligne de dépense, plafonner son montant, ou justifier la reventillation HT / TVA.",
ROUND(IFERROR(VALUE(TRIM(SUBSTITUTE(BL69,CHAR(160),""))),0),2)&gt;
ROUND(IFERROR(VALUE(TRIM(SUBSTITUTE(MIN(P69,U69,Z69),CHAR(160),""))),0),2),
"Attention : Le devis retenu n'est pas le moins cher. Une justification de la part du porteur est nécessaire.",
ROUND(IFERROR(VALUE(TRIM(SUBSTITUTE(BL69,CHAR(160),""))),0),2)=0,
"Attention : montant présenté entièrement écarté",
ROUND(IFERROR(VALUE(TRIM(SUBSTITUTE(BI69,CHAR(160),""))),0),2)=
ROUND(IFERROR(VALUE(TRIM(SUBSTITUTE(BL69,CHAR(160),""))),0),2),
"OK",
ROUND(IFERROR(VALUE(TRIM(SUBSTITUTE(BI69,CHAR(160),""))),0),2)&gt;
ROUND(IFERROR(VALUE(TRIM(SUBSTITUTE(BL69,CHAR(160),""))),0),2),
" OK : Montant instruit inférieur au montant raisonnable.",
TRUE,""
))</f>
        <v/>
      </c>
      <c r="BO69" s="23" t="str" cm="1">
        <f t="array" ref="BO69">IF(OR(BL69="",AD69="",BJ69="",AB69="",BK69="",AC69=""),"",_xlfn.IFS(
ROUND(IFERROR(VALUE(TRIM(SUBSTITUTE(BL69,CHAR(160),""))),0),2)&gt;
ROUND(IFERROR(VALUE(TRIM(SUBSTITUTE(AD69,CHAR(160),""))),0),2),
"KO : Le montant retenu TTC est supérieur au montant présenté TTC. Merci de revoir la ligne de dépense ou plafonner son montant.",
ROUND(IFERROR(VALUE(TRIM(SUBSTITUTE(BJ69,CHAR(160),""))),0),2)&gt;
ROUND(IFERROR(VALUE(TRIM(SUBSTITUTE(AB69,CHAR(160),""))),0),2),
"Attention : Le montant retenu HT est supérieur au montant HT présenté. Merci de revoir la ligne de dépense, plafonner son montant, ou justifier la reventillation HT / TVA.",
ROUND(IFERROR(VALUE(TRIM(SUBSTITUTE(BK69,CHAR(160),""))),0),2)&gt;
ROUND(IFERROR(VALUE(TRIM(SUBSTITUTE(AC69,CHAR(160),""))),0),2),
"Attention : Le montant TVA retenu est supérieur au montant TVA présenté. Merci de revoir la ligne de dépense, plafonner son montant, ou justifier la reventillation HT / TVA.",
ROUND(IFERROR(VALUE(TRIM(SUBSTITUTE(AD69,CHAR(160),""))),0),2)=0,
"",
ROUND(IFERROR(VALUE(TRIM(SUBSTITUTE(BL69,CHAR(160),""))),0),2)=
ROUND(IFERROR(VALUE(TRIM(SUBSTITUTE(AD69,CHAR(160),""))),0),2),
"OK",
ROUND(IFERROR(VALUE(TRIM(SUBSTITUTE(BL69,CHAR(160),""))),0),2)=0,
"Attention : Montant présenté entièrement rejeté.",
ROUND(IFERROR(VALUE(TRIM(SUBSTITUTE(BL69,CHAR(160),""))),0),2)&lt;
ROUND(IFERROR(VALUE(TRIM(SUBSTITUTE(AD69,CHAR(160),""))),0),2),
"Attention : Montant présenté partiellement rejeté.",
TRUE,""
))</f>
        <v/>
      </c>
      <c r="BP69" s="113" t="str">
        <f t="shared" si="44"/>
        <v/>
      </c>
      <c r="BQ69" s="113" t="str">
        <f t="shared" si="45"/>
        <v/>
      </c>
      <c r="BR69" s="33" t="str">
        <f t="shared" si="46"/>
        <v/>
      </c>
    </row>
    <row r="70" spans="1:70" ht="15" customHeight="1">
      <c r="A70" s="193">
        <v>62</v>
      </c>
      <c r="B70" s="7"/>
      <c r="C70" s="7"/>
      <c r="D70" s="19"/>
      <c r="E70" s="7"/>
      <c r="F70" s="7"/>
      <c r="G70" s="7"/>
      <c r="H70" s="7"/>
      <c r="I70" s="28"/>
      <c r="J70" s="7"/>
      <c r="K70" s="29"/>
      <c r="L70" s="678"/>
      <c r="M70" s="7"/>
      <c r="N70" s="672"/>
      <c r="O70" s="11"/>
      <c r="P70" s="107" t="str">
        <f t="shared" si="48"/>
        <v/>
      </c>
      <c r="Q70" s="699"/>
      <c r="R70" s="702"/>
      <c r="S70" s="684"/>
      <c r="T70" s="11"/>
      <c r="U70" s="107" t="str">
        <f t="shared" si="49"/>
        <v/>
      </c>
      <c r="V70" s="695"/>
      <c r="W70" s="685"/>
      <c r="X70" s="707"/>
      <c r="Y70" s="684"/>
      <c r="Z70" s="108" t="str">
        <f t="shared" si="50"/>
        <v/>
      </c>
      <c r="AA70" s="25"/>
      <c r="AB70" s="287" t="str" cm="1">
        <f t="array" ref="AB70">IF((_xlfn.IFS(TRIM(SUBSTITUTE(AA70,CHAR(160),""))="Devis 1",IFERROR(VALUE(TRIM(SUBSTITUTE(N70,CHAR(160),""))),0),TRIM(SUBSTITUTE(AA70,CHAR(160),""))="Devis 2",IFERROR(VALUE(TRIM(SUBSTITUTE(S70,CHAR(160),""))),0),TRIM(SUBSTITUTE(AA70,CHAR(160),""))="Devis 3",IFERROR(VALUE(TRIM(SUBSTITUTE(X70,CHAR(160),""))),0),TRUE,0)*IFERROR(VALUE(TRIM(SUBSTITUTE(D70,CHAR(160),""))),0))=0,"",_xlfn.IFS(TRIM(SUBSTITUTE(AA70,CHAR(160),""))="Devis 1",IFERROR(VALUE(TRIM(SUBSTITUTE(N70,CHAR(160),""))),0),TRIM(SUBSTITUTE(AA70,CHAR(160),""))="Devis 2",IFERROR(VALUE(TRIM(SUBSTITUTE(S70,CHAR(160),""))),0),TRIM(SUBSTITUTE(AA70,CHAR(160),""))="Devis 3",IFERROR(VALUE(TRIM(SUBSTITUTE(X70,CHAR(160),""))),0),TRUE,0)*IFERROR(VALUE(TRIM(SUBSTITUTE(D70,CHAR(160),""))),0))</f>
        <v/>
      </c>
      <c r="AC70" s="275" t="str" cm="1">
        <f t="array" ref="AC70">IF(_xlfn.IFS(TRIM(SUBSTITUTE(AA70,CHAR(160),""))="Devis 1",IFERROR(VALUE(TRIM(SUBSTITUTE(O70,CHAR(160),""))),0),TRIM(SUBSTITUTE(AA70,CHAR(160),""))="Devis 2",IFERROR(VALUE(TRIM(SUBSTITUTE(T70,CHAR(160),""))),0),TRIM(SUBSTITUTE(AA70,CHAR(160),""))="Devis 3",IFERROR(VALUE(TRIM(SUBSTITUTE(Y70,CHAR(160),""))),0),TRUE,0)*IFERROR(VALUE(TRIM(SUBSTITUTE(D70,CHAR(160),""))),0)=0,IF(AB70&lt;&gt;"",0,""),_xlfn.IFS(TRIM(SUBSTITUTE(AA70,CHAR(160),""))="Devis 1",IFERROR(VALUE(TRIM(SUBSTITUTE(O70,CHAR(160),""))),0),TRIM(SUBSTITUTE(AA70,CHAR(160),""))="Devis 2",IFERROR(VALUE(TRIM(SUBSTITUTE(T70,CHAR(160),""))),0),TRIM(SUBSTITUTE(AA70,CHAR(160),""))="Devis 3",IFERROR(VALUE(TRIM(SUBSTITUTE(Y70,CHAR(160),""))),0),TRUE,0)*IFERROR(VALUE(TRIM(SUBSTITUTE(D70,CHAR(160),""))),0))</f>
        <v/>
      </c>
      <c r="AD70" s="285" t="str">
        <f t="shared" si="51"/>
        <v/>
      </c>
      <c r="AE70" s="26"/>
      <c r="AF70" s="109" t="str">
        <f t="shared" si="14"/>
        <v/>
      </c>
      <c r="AG70" s="109" t="str">
        <f t="shared" si="15"/>
        <v/>
      </c>
      <c r="AH70" s="885" t="str">
        <f t="shared" si="16"/>
        <v/>
      </c>
      <c r="AI70" s="109" t="str">
        <f t="shared" si="17"/>
        <v/>
      </c>
      <c r="AJ70" s="109" t="str">
        <f t="shared" si="18"/>
        <v/>
      </c>
      <c r="AK70" s="109" t="str">
        <f t="shared" si="19"/>
        <v/>
      </c>
      <c r="AL70" s="109" t="str">
        <f t="shared" si="20"/>
        <v/>
      </c>
      <c r="AM70" s="109" t="str">
        <f t="shared" si="21"/>
        <v/>
      </c>
      <c r="AN70" s="109" t="str">
        <f t="shared" si="22"/>
        <v/>
      </c>
      <c r="AO70" s="109" t="str">
        <f t="shared" si="23"/>
        <v/>
      </c>
      <c r="AP70" s="754" t="str">
        <f t="shared" si="24"/>
        <v/>
      </c>
      <c r="AQ70" s="755" t="str">
        <f t="shared" si="25"/>
        <v/>
      </c>
      <c r="AR70" s="195" t="str">
        <f t="shared" si="26"/>
        <v/>
      </c>
      <c r="AS70" s="195" t="str">
        <f t="shared" si="27"/>
        <v/>
      </c>
      <c r="AT70" s="664" t="str">
        <f t="shared" si="28"/>
        <v/>
      </c>
      <c r="AU70" s="756" t="str">
        <f t="shared" si="29"/>
        <v/>
      </c>
      <c r="AV70" s="195" t="str">
        <f t="shared" si="30"/>
        <v/>
      </c>
      <c r="AW70" s="195" t="str">
        <f t="shared" si="31"/>
        <v/>
      </c>
      <c r="AX70" s="195" t="str">
        <f t="shared" si="32"/>
        <v/>
      </c>
      <c r="AY70" s="728" t="str">
        <f t="shared" si="33"/>
        <v/>
      </c>
      <c r="AZ70" s="195" t="str">
        <f t="shared" si="34"/>
        <v/>
      </c>
      <c r="BA70" s="195" t="str">
        <f t="shared" si="35"/>
        <v/>
      </c>
      <c r="BB70" s="195" t="str">
        <f t="shared" si="36"/>
        <v/>
      </c>
      <c r="BC70" s="195" t="str">
        <f t="shared" si="37"/>
        <v/>
      </c>
      <c r="BD70" s="112" t="str">
        <f t="shared" si="38"/>
        <v/>
      </c>
      <c r="BE70" s="109" t="str">
        <f t="shared" si="39"/>
        <v/>
      </c>
      <c r="BF70" s="602"/>
      <c r="BG70" s="113" t="str">
        <f t="shared" si="40"/>
        <v/>
      </c>
      <c r="BH70" s="113" t="str">
        <f t="shared" si="41"/>
        <v/>
      </c>
      <c r="BI70" s="113" t="str">
        <f t="shared" si="42"/>
        <v/>
      </c>
      <c r="BJ70" s="281" t="str" cm="1">
        <f t="array" ref="BJ70">IF($AH70="","",
_xlfn.IFS(
$BE70="Devis 1",
IF(ISBLANK(AR70),"",IFERROR(VALUE(TRIM(SUBSTITUTE(AR70,CHAR(160),""))),0)*IFERROR(VALUE(TRIM(SUBSTITUTE($AH70,CHAR(160),""))),0)),
$BE70="Devis 2",
IF(ISBLANK(AW70),"",IFERROR(VALUE(TRIM(SUBSTITUTE(AW70,CHAR(160),""))),0)*IFERROR(VALUE(TRIM(SUBSTITUTE($AH70,CHAR(160),""))),0)),
$BE70="Devis 3",
IF(ISBLANK(BB70),"",IFERROR(VALUE(TRIM(SUBSTITUTE(BB70,CHAR(160),""))),0)*IFERROR(VALUE(TRIM(SUBSTITUTE($AH70,CHAR(160),""))),0)),
TRUE,0
)
)</f>
        <v/>
      </c>
      <c r="BK70" s="281" t="str" cm="1">
        <f t="array" ref="BK70">IF($AH70="","",
_xlfn.IFS(
$BE70="Devis 1",
IF(ISBLANK(AS70),"",IFERROR(VALUE(TRIM(SUBSTITUTE(AS70,CHAR(160),""))),0)*IFERROR(VALUE(TRIM(SUBSTITUTE($AH70,CHAR(160),""))),0)),
$BE70="Devis 2",
IF(ISBLANK(AX70),"",IFERROR(VALUE(TRIM(SUBSTITUTE(AX70,CHAR(160),""))),0)*IFERROR(VALUE(TRIM(SUBSTITUTE($AH70,CHAR(160),""))),0)),
$BE70="Devis 3",
IF(ISBLANK(BC70),"",IFERROR(VALUE(TRIM(SUBSTITUTE(BC70,CHAR(160),""))),0)*IFERROR(VALUE(TRIM(SUBSTITUTE($AH70,CHAR(160),""))),0)),
TRUE,0
)
)</f>
        <v/>
      </c>
      <c r="BL70" s="281" t="str">
        <f t="shared" si="43"/>
        <v/>
      </c>
      <c r="BM70" s="602"/>
      <c r="BN70" s="23" t="str" cm="1">
        <f t="array" ref="BN70">IF(OR(BL70="",BI70="",BJ70="",BG70="",BK70="",BH70=""),"",_xlfn.IFS(
ROUND(IFERROR(VALUE(TRIM(SUBSTITUTE(BL70,CHAR(160),""))),0),2)&gt;
ROUND(IFERROR(VALUE(TRIM(SUBSTITUTE(BI70,CHAR(160),""))),0),2),
"KO : Le montant retenu TTC est supérieur au montant raisonnable TTC. Merci de revoir la ligne de dépense ou plafonner son montant.",
ROUND(IFERROR(VALUE(TRIM(SUBSTITUTE(BJ70,CHAR(160),""))),0),2)&gt;
ROUND(IFERROR(VALUE(TRIM(SUBSTITUTE(BG70,CHAR(160),""))),0),2),
"Attention : Le montant retenu HT est supérieur au montant HT raisonnable. Merci de revoir la ligne de dépense, plafonner son montant, ou justifier la reventillation HT / TVA.",
ROUND(IFERROR(VALUE(TRIM(SUBSTITUTE(BK70,CHAR(160),""))),0),2)&gt;
ROUND(IFERROR(VALUE(TRIM(SUBSTITUTE(BH70,CHAR(160),""))),0),2),
"Attention : Le montant TVA retenu est supérieur au montant TVA raisonnable. Merci de revoir la ligne de dépense, plafonner son montant, ou justifier la reventillation HT / TVA.",
ROUND(IFERROR(VALUE(TRIM(SUBSTITUTE(BL70,CHAR(160),""))),0),2)&gt;
ROUND(IFERROR(VALUE(TRIM(SUBSTITUTE(MIN(P70,U70,Z70),CHAR(160),""))),0),2),
"Attention : Le devis retenu n'est pas le moins cher. Une justification de la part du porteur est nécessaire.",
ROUND(IFERROR(VALUE(TRIM(SUBSTITUTE(BL70,CHAR(160),""))),0),2)=0,
"Attention : montant présenté entièrement écarté",
ROUND(IFERROR(VALUE(TRIM(SUBSTITUTE(BI70,CHAR(160),""))),0),2)=
ROUND(IFERROR(VALUE(TRIM(SUBSTITUTE(BL70,CHAR(160),""))),0),2),
"OK",
ROUND(IFERROR(VALUE(TRIM(SUBSTITUTE(BI70,CHAR(160),""))),0),2)&gt;
ROUND(IFERROR(VALUE(TRIM(SUBSTITUTE(BL70,CHAR(160),""))),0),2),
" OK : Montant instruit inférieur au montant raisonnable.",
TRUE,""
))</f>
        <v/>
      </c>
      <c r="BO70" s="23" t="str" cm="1">
        <f t="array" ref="BO70">IF(OR(BL70="",AD70="",BJ70="",AB70="",BK70="",AC70=""),"",_xlfn.IFS(
ROUND(IFERROR(VALUE(TRIM(SUBSTITUTE(BL70,CHAR(160),""))),0),2)&gt;
ROUND(IFERROR(VALUE(TRIM(SUBSTITUTE(AD70,CHAR(160),""))),0),2),
"KO : Le montant retenu TTC est supérieur au montant présenté TTC. Merci de revoir la ligne de dépense ou plafonner son montant.",
ROUND(IFERROR(VALUE(TRIM(SUBSTITUTE(BJ70,CHAR(160),""))),0),2)&gt;
ROUND(IFERROR(VALUE(TRIM(SUBSTITUTE(AB70,CHAR(160),""))),0),2),
"Attention : Le montant retenu HT est supérieur au montant HT présenté. Merci de revoir la ligne de dépense, plafonner son montant, ou justifier la reventillation HT / TVA.",
ROUND(IFERROR(VALUE(TRIM(SUBSTITUTE(BK70,CHAR(160),""))),0),2)&gt;
ROUND(IFERROR(VALUE(TRIM(SUBSTITUTE(AC70,CHAR(160),""))),0),2),
"Attention : Le montant TVA retenu est supérieur au montant TVA présenté. Merci de revoir la ligne de dépense, plafonner son montant, ou justifier la reventillation HT / TVA.",
ROUND(IFERROR(VALUE(TRIM(SUBSTITUTE(AD70,CHAR(160),""))),0),2)=0,
"",
ROUND(IFERROR(VALUE(TRIM(SUBSTITUTE(BL70,CHAR(160),""))),0),2)=
ROUND(IFERROR(VALUE(TRIM(SUBSTITUTE(AD70,CHAR(160),""))),0),2),
"OK",
ROUND(IFERROR(VALUE(TRIM(SUBSTITUTE(BL70,CHAR(160),""))),0),2)=0,
"Attention : Montant présenté entièrement rejeté.",
ROUND(IFERROR(VALUE(TRIM(SUBSTITUTE(BL70,CHAR(160),""))),0),2)&lt;
ROUND(IFERROR(VALUE(TRIM(SUBSTITUTE(AD70,CHAR(160),""))),0),2),
"Attention : Montant présenté partiellement rejeté.",
TRUE,""
))</f>
        <v/>
      </c>
      <c r="BP70" s="113" t="str">
        <f t="shared" si="44"/>
        <v/>
      </c>
      <c r="BQ70" s="113" t="str">
        <f t="shared" si="45"/>
        <v/>
      </c>
      <c r="BR70" s="33" t="str">
        <f t="shared" si="46"/>
        <v/>
      </c>
    </row>
    <row r="71" spans="1:70" ht="15" customHeight="1">
      <c r="A71" s="193">
        <v>63</v>
      </c>
      <c r="B71" s="7"/>
      <c r="C71" s="7"/>
      <c r="D71" s="19"/>
      <c r="E71" s="7"/>
      <c r="F71" s="7"/>
      <c r="G71" s="7"/>
      <c r="H71" s="7"/>
      <c r="I71" s="28"/>
      <c r="J71" s="7"/>
      <c r="K71" s="29"/>
      <c r="L71" s="678"/>
      <c r="M71" s="7"/>
      <c r="N71" s="672"/>
      <c r="O71" s="11"/>
      <c r="P71" s="107" t="str">
        <f t="shared" si="48"/>
        <v/>
      </c>
      <c r="Q71" s="699"/>
      <c r="R71" s="702"/>
      <c r="S71" s="684"/>
      <c r="T71" s="11"/>
      <c r="U71" s="107" t="str">
        <f t="shared" si="49"/>
        <v/>
      </c>
      <c r="V71" s="695"/>
      <c r="W71" s="685"/>
      <c r="X71" s="707"/>
      <c r="Y71" s="684"/>
      <c r="Z71" s="108" t="str">
        <f t="shared" si="50"/>
        <v/>
      </c>
      <c r="AA71" s="25"/>
      <c r="AB71" s="287" t="str" cm="1">
        <f t="array" ref="AB71">IF((_xlfn.IFS(TRIM(SUBSTITUTE(AA71,CHAR(160),""))="Devis 1",IFERROR(VALUE(TRIM(SUBSTITUTE(N71,CHAR(160),""))),0),TRIM(SUBSTITUTE(AA71,CHAR(160),""))="Devis 2",IFERROR(VALUE(TRIM(SUBSTITUTE(S71,CHAR(160),""))),0),TRIM(SUBSTITUTE(AA71,CHAR(160),""))="Devis 3",IFERROR(VALUE(TRIM(SUBSTITUTE(X71,CHAR(160),""))),0),TRUE,0)*IFERROR(VALUE(TRIM(SUBSTITUTE(D71,CHAR(160),""))),0))=0,"",_xlfn.IFS(TRIM(SUBSTITUTE(AA71,CHAR(160),""))="Devis 1",IFERROR(VALUE(TRIM(SUBSTITUTE(N71,CHAR(160),""))),0),TRIM(SUBSTITUTE(AA71,CHAR(160),""))="Devis 2",IFERROR(VALUE(TRIM(SUBSTITUTE(S71,CHAR(160),""))),0),TRIM(SUBSTITUTE(AA71,CHAR(160),""))="Devis 3",IFERROR(VALUE(TRIM(SUBSTITUTE(X71,CHAR(160),""))),0),TRUE,0)*IFERROR(VALUE(TRIM(SUBSTITUTE(D71,CHAR(160),""))),0))</f>
        <v/>
      </c>
      <c r="AC71" s="275" t="str" cm="1">
        <f t="array" ref="AC71">IF(_xlfn.IFS(TRIM(SUBSTITUTE(AA71,CHAR(160),""))="Devis 1",IFERROR(VALUE(TRIM(SUBSTITUTE(O71,CHAR(160),""))),0),TRIM(SUBSTITUTE(AA71,CHAR(160),""))="Devis 2",IFERROR(VALUE(TRIM(SUBSTITUTE(T71,CHAR(160),""))),0),TRIM(SUBSTITUTE(AA71,CHAR(160),""))="Devis 3",IFERROR(VALUE(TRIM(SUBSTITUTE(Y71,CHAR(160),""))),0),TRUE,0)*IFERROR(VALUE(TRIM(SUBSTITUTE(D71,CHAR(160),""))),0)=0,IF(AB71&lt;&gt;"",0,""),_xlfn.IFS(TRIM(SUBSTITUTE(AA71,CHAR(160),""))="Devis 1",IFERROR(VALUE(TRIM(SUBSTITUTE(O71,CHAR(160),""))),0),TRIM(SUBSTITUTE(AA71,CHAR(160),""))="Devis 2",IFERROR(VALUE(TRIM(SUBSTITUTE(T71,CHAR(160),""))),0),TRIM(SUBSTITUTE(AA71,CHAR(160),""))="Devis 3",IFERROR(VALUE(TRIM(SUBSTITUTE(Y71,CHAR(160),""))),0),TRUE,0)*IFERROR(VALUE(TRIM(SUBSTITUTE(D71,CHAR(160),""))),0))</f>
        <v/>
      </c>
      <c r="AD71" s="285" t="str">
        <f t="shared" si="51"/>
        <v/>
      </c>
      <c r="AE71" s="26"/>
      <c r="AF71" s="109" t="str">
        <f t="shared" si="14"/>
        <v/>
      </c>
      <c r="AG71" s="109" t="str">
        <f t="shared" si="15"/>
        <v/>
      </c>
      <c r="AH71" s="885" t="str">
        <f t="shared" si="16"/>
        <v/>
      </c>
      <c r="AI71" s="109" t="str">
        <f t="shared" si="17"/>
        <v/>
      </c>
      <c r="AJ71" s="109" t="str">
        <f t="shared" si="18"/>
        <v/>
      </c>
      <c r="AK71" s="109" t="str">
        <f t="shared" si="19"/>
        <v/>
      </c>
      <c r="AL71" s="109" t="str">
        <f t="shared" si="20"/>
        <v/>
      </c>
      <c r="AM71" s="109" t="str">
        <f t="shared" si="21"/>
        <v/>
      </c>
      <c r="AN71" s="109" t="str">
        <f t="shared" si="22"/>
        <v/>
      </c>
      <c r="AO71" s="109" t="str">
        <f t="shared" si="23"/>
        <v/>
      </c>
      <c r="AP71" s="754" t="str">
        <f t="shared" si="24"/>
        <v/>
      </c>
      <c r="AQ71" s="755" t="str">
        <f t="shared" si="25"/>
        <v/>
      </c>
      <c r="AR71" s="195" t="str">
        <f t="shared" si="26"/>
        <v/>
      </c>
      <c r="AS71" s="195" t="str">
        <f t="shared" si="27"/>
        <v/>
      </c>
      <c r="AT71" s="664" t="str">
        <f t="shared" si="28"/>
        <v/>
      </c>
      <c r="AU71" s="756" t="str">
        <f t="shared" si="29"/>
        <v/>
      </c>
      <c r="AV71" s="195" t="str">
        <f t="shared" si="30"/>
        <v/>
      </c>
      <c r="AW71" s="195" t="str">
        <f t="shared" si="31"/>
        <v/>
      </c>
      <c r="AX71" s="195" t="str">
        <f t="shared" si="32"/>
        <v/>
      </c>
      <c r="AY71" s="728" t="str">
        <f t="shared" si="33"/>
        <v/>
      </c>
      <c r="AZ71" s="195" t="str">
        <f t="shared" si="34"/>
        <v/>
      </c>
      <c r="BA71" s="195" t="str">
        <f t="shared" si="35"/>
        <v/>
      </c>
      <c r="BB71" s="195" t="str">
        <f t="shared" si="36"/>
        <v/>
      </c>
      <c r="BC71" s="195" t="str">
        <f t="shared" si="37"/>
        <v/>
      </c>
      <c r="BD71" s="112" t="str">
        <f t="shared" si="38"/>
        <v/>
      </c>
      <c r="BE71" s="109" t="str">
        <f t="shared" si="39"/>
        <v/>
      </c>
      <c r="BF71" s="602"/>
      <c r="BG71" s="113" t="str">
        <f t="shared" si="40"/>
        <v/>
      </c>
      <c r="BH71" s="113" t="str">
        <f t="shared" si="41"/>
        <v/>
      </c>
      <c r="BI71" s="113" t="str">
        <f t="shared" si="42"/>
        <v/>
      </c>
      <c r="BJ71" s="281" t="str" cm="1">
        <f t="array" ref="BJ71">IF($AH71="","",
_xlfn.IFS(
$BE71="Devis 1",
IF(ISBLANK(AR71),"",IFERROR(VALUE(TRIM(SUBSTITUTE(AR71,CHAR(160),""))),0)*IFERROR(VALUE(TRIM(SUBSTITUTE($AH71,CHAR(160),""))),0)),
$BE71="Devis 2",
IF(ISBLANK(AW71),"",IFERROR(VALUE(TRIM(SUBSTITUTE(AW71,CHAR(160),""))),0)*IFERROR(VALUE(TRIM(SUBSTITUTE($AH71,CHAR(160),""))),0)),
$BE71="Devis 3",
IF(ISBLANK(BB71),"",IFERROR(VALUE(TRIM(SUBSTITUTE(BB71,CHAR(160),""))),0)*IFERROR(VALUE(TRIM(SUBSTITUTE($AH71,CHAR(160),""))),0)),
TRUE,0
)
)</f>
        <v/>
      </c>
      <c r="BK71" s="281" t="str" cm="1">
        <f t="array" ref="BK71">IF($AH71="","",
_xlfn.IFS(
$BE71="Devis 1",
IF(ISBLANK(AS71),"",IFERROR(VALUE(TRIM(SUBSTITUTE(AS71,CHAR(160),""))),0)*IFERROR(VALUE(TRIM(SUBSTITUTE($AH71,CHAR(160),""))),0)),
$BE71="Devis 2",
IF(ISBLANK(AX71),"",IFERROR(VALUE(TRIM(SUBSTITUTE(AX71,CHAR(160),""))),0)*IFERROR(VALUE(TRIM(SUBSTITUTE($AH71,CHAR(160),""))),0)),
$BE71="Devis 3",
IF(ISBLANK(BC71),"",IFERROR(VALUE(TRIM(SUBSTITUTE(BC71,CHAR(160),""))),0)*IFERROR(VALUE(TRIM(SUBSTITUTE($AH71,CHAR(160),""))),0)),
TRUE,0
)
)</f>
        <v/>
      </c>
      <c r="BL71" s="281" t="str">
        <f t="shared" si="43"/>
        <v/>
      </c>
      <c r="BM71" s="602"/>
      <c r="BN71" s="23" t="str" cm="1">
        <f t="array" ref="BN71">IF(OR(BL71="",BI71="",BJ71="",BG71="",BK71="",BH71=""),"",_xlfn.IFS(
ROUND(IFERROR(VALUE(TRIM(SUBSTITUTE(BL71,CHAR(160),""))),0),2)&gt;
ROUND(IFERROR(VALUE(TRIM(SUBSTITUTE(BI71,CHAR(160),""))),0),2),
"KO : Le montant retenu TTC est supérieur au montant raisonnable TTC. Merci de revoir la ligne de dépense ou plafonner son montant.",
ROUND(IFERROR(VALUE(TRIM(SUBSTITUTE(BJ71,CHAR(160),""))),0),2)&gt;
ROUND(IFERROR(VALUE(TRIM(SUBSTITUTE(BG71,CHAR(160),""))),0),2),
"Attention : Le montant retenu HT est supérieur au montant HT raisonnable. Merci de revoir la ligne de dépense, plafonner son montant, ou justifier la reventillation HT / TVA.",
ROUND(IFERROR(VALUE(TRIM(SUBSTITUTE(BK71,CHAR(160),""))),0),2)&gt;
ROUND(IFERROR(VALUE(TRIM(SUBSTITUTE(BH71,CHAR(160),""))),0),2),
"Attention : Le montant TVA retenu est supérieur au montant TVA raisonnable. Merci de revoir la ligne de dépense, plafonner son montant, ou justifier la reventillation HT / TVA.",
ROUND(IFERROR(VALUE(TRIM(SUBSTITUTE(BL71,CHAR(160),""))),0),2)&gt;
ROUND(IFERROR(VALUE(TRIM(SUBSTITUTE(MIN(P71,U71,Z71),CHAR(160),""))),0),2),
"Attention : Le devis retenu n'est pas le moins cher. Une justification de la part du porteur est nécessaire.",
ROUND(IFERROR(VALUE(TRIM(SUBSTITUTE(BL71,CHAR(160),""))),0),2)=0,
"Attention : montant présenté entièrement écarté",
ROUND(IFERROR(VALUE(TRIM(SUBSTITUTE(BI71,CHAR(160),""))),0),2)=
ROUND(IFERROR(VALUE(TRIM(SUBSTITUTE(BL71,CHAR(160),""))),0),2),
"OK",
ROUND(IFERROR(VALUE(TRIM(SUBSTITUTE(BI71,CHAR(160),""))),0),2)&gt;
ROUND(IFERROR(VALUE(TRIM(SUBSTITUTE(BL71,CHAR(160),""))),0),2),
" OK : Montant instruit inférieur au montant raisonnable.",
TRUE,""
))</f>
        <v/>
      </c>
      <c r="BO71" s="23" t="str" cm="1">
        <f t="array" ref="BO71">IF(OR(BL71="",AD71="",BJ71="",AB71="",BK71="",AC71=""),"",_xlfn.IFS(
ROUND(IFERROR(VALUE(TRIM(SUBSTITUTE(BL71,CHAR(160),""))),0),2)&gt;
ROUND(IFERROR(VALUE(TRIM(SUBSTITUTE(AD71,CHAR(160),""))),0),2),
"KO : Le montant retenu TTC est supérieur au montant présenté TTC. Merci de revoir la ligne de dépense ou plafonner son montant.",
ROUND(IFERROR(VALUE(TRIM(SUBSTITUTE(BJ71,CHAR(160),""))),0),2)&gt;
ROUND(IFERROR(VALUE(TRIM(SUBSTITUTE(AB71,CHAR(160),""))),0),2),
"Attention : Le montant retenu HT est supérieur au montant HT présenté. Merci de revoir la ligne de dépense, plafonner son montant, ou justifier la reventillation HT / TVA.",
ROUND(IFERROR(VALUE(TRIM(SUBSTITUTE(BK71,CHAR(160),""))),0),2)&gt;
ROUND(IFERROR(VALUE(TRIM(SUBSTITUTE(AC71,CHAR(160),""))),0),2),
"Attention : Le montant TVA retenu est supérieur au montant TVA présenté. Merci de revoir la ligne de dépense, plafonner son montant, ou justifier la reventillation HT / TVA.",
ROUND(IFERROR(VALUE(TRIM(SUBSTITUTE(AD71,CHAR(160),""))),0),2)=0,
"",
ROUND(IFERROR(VALUE(TRIM(SUBSTITUTE(BL71,CHAR(160),""))),0),2)=
ROUND(IFERROR(VALUE(TRIM(SUBSTITUTE(AD71,CHAR(160),""))),0),2),
"OK",
ROUND(IFERROR(VALUE(TRIM(SUBSTITUTE(BL71,CHAR(160),""))),0),2)=0,
"Attention : Montant présenté entièrement rejeté.",
ROUND(IFERROR(VALUE(TRIM(SUBSTITUTE(BL71,CHAR(160),""))),0),2)&lt;
ROUND(IFERROR(VALUE(TRIM(SUBSTITUTE(AD71,CHAR(160),""))),0),2),
"Attention : Montant présenté partiellement rejeté.",
TRUE,""
))</f>
        <v/>
      </c>
      <c r="BP71" s="113" t="str">
        <f t="shared" si="44"/>
        <v/>
      </c>
      <c r="BQ71" s="113" t="str">
        <f t="shared" si="45"/>
        <v/>
      </c>
      <c r="BR71" s="33" t="str">
        <f t="shared" si="46"/>
        <v/>
      </c>
    </row>
    <row r="72" spans="1:70" ht="15" customHeight="1">
      <c r="A72" s="193">
        <v>64</v>
      </c>
      <c r="B72" s="7"/>
      <c r="C72" s="7"/>
      <c r="D72" s="19"/>
      <c r="E72" s="7"/>
      <c r="F72" s="7"/>
      <c r="G72" s="7"/>
      <c r="H72" s="7"/>
      <c r="I72" s="28"/>
      <c r="J72" s="7"/>
      <c r="K72" s="29"/>
      <c r="L72" s="678"/>
      <c r="M72" s="7"/>
      <c r="N72" s="672"/>
      <c r="O72" s="11"/>
      <c r="P72" s="107" t="str">
        <f t="shared" si="48"/>
        <v/>
      </c>
      <c r="Q72" s="699"/>
      <c r="R72" s="702"/>
      <c r="S72" s="684"/>
      <c r="T72" s="11"/>
      <c r="U72" s="107" t="str">
        <f t="shared" si="49"/>
        <v/>
      </c>
      <c r="V72" s="695"/>
      <c r="W72" s="685"/>
      <c r="X72" s="707"/>
      <c r="Y72" s="684"/>
      <c r="Z72" s="108" t="str">
        <f t="shared" si="50"/>
        <v/>
      </c>
      <c r="AA72" s="25"/>
      <c r="AB72" s="287" t="str" cm="1">
        <f t="array" ref="AB72">IF((_xlfn.IFS(TRIM(SUBSTITUTE(AA72,CHAR(160),""))="Devis 1",IFERROR(VALUE(TRIM(SUBSTITUTE(N72,CHAR(160),""))),0),TRIM(SUBSTITUTE(AA72,CHAR(160),""))="Devis 2",IFERROR(VALUE(TRIM(SUBSTITUTE(S72,CHAR(160),""))),0),TRIM(SUBSTITUTE(AA72,CHAR(160),""))="Devis 3",IFERROR(VALUE(TRIM(SUBSTITUTE(X72,CHAR(160),""))),0),TRUE,0)*IFERROR(VALUE(TRIM(SUBSTITUTE(D72,CHAR(160),""))),0))=0,"",_xlfn.IFS(TRIM(SUBSTITUTE(AA72,CHAR(160),""))="Devis 1",IFERROR(VALUE(TRIM(SUBSTITUTE(N72,CHAR(160),""))),0),TRIM(SUBSTITUTE(AA72,CHAR(160),""))="Devis 2",IFERROR(VALUE(TRIM(SUBSTITUTE(S72,CHAR(160),""))),0),TRIM(SUBSTITUTE(AA72,CHAR(160),""))="Devis 3",IFERROR(VALUE(TRIM(SUBSTITUTE(X72,CHAR(160),""))),0),TRUE,0)*IFERROR(VALUE(TRIM(SUBSTITUTE(D72,CHAR(160),""))),0))</f>
        <v/>
      </c>
      <c r="AC72" s="275" t="str" cm="1">
        <f t="array" ref="AC72">IF(_xlfn.IFS(TRIM(SUBSTITUTE(AA72,CHAR(160),""))="Devis 1",IFERROR(VALUE(TRIM(SUBSTITUTE(O72,CHAR(160),""))),0),TRIM(SUBSTITUTE(AA72,CHAR(160),""))="Devis 2",IFERROR(VALUE(TRIM(SUBSTITUTE(T72,CHAR(160),""))),0),TRIM(SUBSTITUTE(AA72,CHAR(160),""))="Devis 3",IFERROR(VALUE(TRIM(SUBSTITUTE(Y72,CHAR(160),""))),0),TRUE,0)*IFERROR(VALUE(TRIM(SUBSTITUTE(D72,CHAR(160),""))),0)=0,IF(AB72&lt;&gt;"",0,""),_xlfn.IFS(TRIM(SUBSTITUTE(AA72,CHAR(160),""))="Devis 1",IFERROR(VALUE(TRIM(SUBSTITUTE(O72,CHAR(160),""))),0),TRIM(SUBSTITUTE(AA72,CHAR(160),""))="Devis 2",IFERROR(VALUE(TRIM(SUBSTITUTE(T72,CHAR(160),""))),0),TRIM(SUBSTITUTE(AA72,CHAR(160),""))="Devis 3",IFERROR(VALUE(TRIM(SUBSTITUTE(Y72,CHAR(160),""))),0),TRUE,0)*IFERROR(VALUE(TRIM(SUBSTITUTE(D72,CHAR(160),""))),0))</f>
        <v/>
      </c>
      <c r="AD72" s="285" t="str">
        <f t="shared" si="51"/>
        <v/>
      </c>
      <c r="AE72" s="26"/>
      <c r="AF72" s="109" t="str">
        <f t="shared" si="14"/>
        <v/>
      </c>
      <c r="AG72" s="109" t="str">
        <f t="shared" si="15"/>
        <v/>
      </c>
      <c r="AH72" s="885" t="str">
        <f t="shared" si="16"/>
        <v/>
      </c>
      <c r="AI72" s="109" t="str">
        <f t="shared" si="17"/>
        <v/>
      </c>
      <c r="AJ72" s="109" t="str">
        <f t="shared" si="18"/>
        <v/>
      </c>
      <c r="AK72" s="109" t="str">
        <f t="shared" si="19"/>
        <v/>
      </c>
      <c r="AL72" s="109" t="str">
        <f t="shared" si="20"/>
        <v/>
      </c>
      <c r="AM72" s="109" t="str">
        <f t="shared" si="21"/>
        <v/>
      </c>
      <c r="AN72" s="109" t="str">
        <f t="shared" si="22"/>
        <v/>
      </c>
      <c r="AO72" s="109" t="str">
        <f t="shared" si="23"/>
        <v/>
      </c>
      <c r="AP72" s="754" t="str">
        <f t="shared" si="24"/>
        <v/>
      </c>
      <c r="AQ72" s="755" t="str">
        <f t="shared" si="25"/>
        <v/>
      </c>
      <c r="AR72" s="195" t="str">
        <f t="shared" si="26"/>
        <v/>
      </c>
      <c r="AS72" s="195" t="str">
        <f t="shared" si="27"/>
        <v/>
      </c>
      <c r="AT72" s="664" t="str">
        <f t="shared" si="28"/>
        <v/>
      </c>
      <c r="AU72" s="756" t="str">
        <f t="shared" si="29"/>
        <v/>
      </c>
      <c r="AV72" s="195" t="str">
        <f t="shared" si="30"/>
        <v/>
      </c>
      <c r="AW72" s="195" t="str">
        <f t="shared" si="31"/>
        <v/>
      </c>
      <c r="AX72" s="195" t="str">
        <f t="shared" si="32"/>
        <v/>
      </c>
      <c r="AY72" s="728" t="str">
        <f t="shared" si="33"/>
        <v/>
      </c>
      <c r="AZ72" s="195" t="str">
        <f t="shared" si="34"/>
        <v/>
      </c>
      <c r="BA72" s="195" t="str">
        <f t="shared" si="35"/>
        <v/>
      </c>
      <c r="BB72" s="195" t="str">
        <f t="shared" si="36"/>
        <v/>
      </c>
      <c r="BC72" s="195" t="str">
        <f t="shared" si="37"/>
        <v/>
      </c>
      <c r="BD72" s="112" t="str">
        <f t="shared" si="38"/>
        <v/>
      </c>
      <c r="BE72" s="109" t="str">
        <f t="shared" si="39"/>
        <v/>
      </c>
      <c r="BF72" s="602"/>
      <c r="BG72" s="113" t="str">
        <f t="shared" si="40"/>
        <v/>
      </c>
      <c r="BH72" s="113" t="str">
        <f t="shared" si="41"/>
        <v/>
      </c>
      <c r="BI72" s="113" t="str">
        <f t="shared" si="42"/>
        <v/>
      </c>
      <c r="BJ72" s="281" t="str" cm="1">
        <f t="array" ref="BJ72">IF($AH72="","",
_xlfn.IFS(
$BE72="Devis 1",
IF(ISBLANK(AR72),"",IFERROR(VALUE(TRIM(SUBSTITUTE(AR72,CHAR(160),""))),0)*IFERROR(VALUE(TRIM(SUBSTITUTE($AH72,CHAR(160),""))),0)),
$BE72="Devis 2",
IF(ISBLANK(AW72),"",IFERROR(VALUE(TRIM(SUBSTITUTE(AW72,CHAR(160),""))),0)*IFERROR(VALUE(TRIM(SUBSTITUTE($AH72,CHAR(160),""))),0)),
$BE72="Devis 3",
IF(ISBLANK(BB72),"",IFERROR(VALUE(TRIM(SUBSTITUTE(BB72,CHAR(160),""))),0)*IFERROR(VALUE(TRIM(SUBSTITUTE($AH72,CHAR(160),""))),0)),
TRUE,0
)
)</f>
        <v/>
      </c>
      <c r="BK72" s="281" t="str" cm="1">
        <f t="array" ref="BK72">IF($AH72="","",
_xlfn.IFS(
$BE72="Devis 1",
IF(ISBLANK(AS72),"",IFERROR(VALUE(TRIM(SUBSTITUTE(AS72,CHAR(160),""))),0)*IFERROR(VALUE(TRIM(SUBSTITUTE($AH72,CHAR(160),""))),0)),
$BE72="Devis 2",
IF(ISBLANK(AX72),"",IFERROR(VALUE(TRIM(SUBSTITUTE(AX72,CHAR(160),""))),0)*IFERROR(VALUE(TRIM(SUBSTITUTE($AH72,CHAR(160),""))),0)),
$BE72="Devis 3",
IF(ISBLANK(BC72),"",IFERROR(VALUE(TRIM(SUBSTITUTE(BC72,CHAR(160),""))),0)*IFERROR(VALUE(TRIM(SUBSTITUTE($AH72,CHAR(160),""))),0)),
TRUE,0
)
)</f>
        <v/>
      </c>
      <c r="BL72" s="281" t="str">
        <f t="shared" si="43"/>
        <v/>
      </c>
      <c r="BM72" s="602"/>
      <c r="BN72" s="23" t="str" cm="1">
        <f t="array" ref="BN72">IF(OR(BL72="",BI72="",BJ72="",BG72="",BK72="",BH72=""),"",_xlfn.IFS(
ROUND(IFERROR(VALUE(TRIM(SUBSTITUTE(BL72,CHAR(160),""))),0),2)&gt;
ROUND(IFERROR(VALUE(TRIM(SUBSTITUTE(BI72,CHAR(160),""))),0),2),
"KO : Le montant retenu TTC est supérieur au montant raisonnable TTC. Merci de revoir la ligne de dépense ou plafonner son montant.",
ROUND(IFERROR(VALUE(TRIM(SUBSTITUTE(BJ72,CHAR(160),""))),0),2)&gt;
ROUND(IFERROR(VALUE(TRIM(SUBSTITUTE(BG72,CHAR(160),""))),0),2),
"Attention : Le montant retenu HT est supérieur au montant HT raisonnable. Merci de revoir la ligne de dépense, plafonner son montant, ou justifier la reventillation HT / TVA.",
ROUND(IFERROR(VALUE(TRIM(SUBSTITUTE(BK72,CHAR(160),""))),0),2)&gt;
ROUND(IFERROR(VALUE(TRIM(SUBSTITUTE(BH72,CHAR(160),""))),0),2),
"Attention : Le montant TVA retenu est supérieur au montant TVA raisonnable. Merci de revoir la ligne de dépense, plafonner son montant, ou justifier la reventillation HT / TVA.",
ROUND(IFERROR(VALUE(TRIM(SUBSTITUTE(BL72,CHAR(160),""))),0),2)&gt;
ROUND(IFERROR(VALUE(TRIM(SUBSTITUTE(MIN(P72,U72,Z72),CHAR(160),""))),0),2),
"Attention : Le devis retenu n'est pas le moins cher. Une justification de la part du porteur est nécessaire.",
ROUND(IFERROR(VALUE(TRIM(SUBSTITUTE(BL72,CHAR(160),""))),0),2)=0,
"Attention : montant présenté entièrement écarté",
ROUND(IFERROR(VALUE(TRIM(SUBSTITUTE(BI72,CHAR(160),""))),0),2)=
ROUND(IFERROR(VALUE(TRIM(SUBSTITUTE(BL72,CHAR(160),""))),0),2),
"OK",
ROUND(IFERROR(VALUE(TRIM(SUBSTITUTE(BI72,CHAR(160),""))),0),2)&gt;
ROUND(IFERROR(VALUE(TRIM(SUBSTITUTE(BL72,CHAR(160),""))),0),2),
" OK : Montant instruit inférieur au montant raisonnable.",
TRUE,""
))</f>
        <v/>
      </c>
      <c r="BO72" s="23" t="str" cm="1">
        <f t="array" ref="BO72">IF(OR(BL72="",AD72="",BJ72="",AB72="",BK72="",AC72=""),"",_xlfn.IFS(
ROUND(IFERROR(VALUE(TRIM(SUBSTITUTE(BL72,CHAR(160),""))),0),2)&gt;
ROUND(IFERROR(VALUE(TRIM(SUBSTITUTE(AD72,CHAR(160),""))),0),2),
"KO : Le montant retenu TTC est supérieur au montant présenté TTC. Merci de revoir la ligne de dépense ou plafonner son montant.",
ROUND(IFERROR(VALUE(TRIM(SUBSTITUTE(BJ72,CHAR(160),""))),0),2)&gt;
ROUND(IFERROR(VALUE(TRIM(SUBSTITUTE(AB72,CHAR(160),""))),0),2),
"Attention : Le montant retenu HT est supérieur au montant HT présenté. Merci de revoir la ligne de dépense, plafonner son montant, ou justifier la reventillation HT / TVA.",
ROUND(IFERROR(VALUE(TRIM(SUBSTITUTE(BK72,CHAR(160),""))),0),2)&gt;
ROUND(IFERROR(VALUE(TRIM(SUBSTITUTE(AC72,CHAR(160),""))),0),2),
"Attention : Le montant TVA retenu est supérieur au montant TVA présenté. Merci de revoir la ligne de dépense, plafonner son montant, ou justifier la reventillation HT / TVA.",
ROUND(IFERROR(VALUE(TRIM(SUBSTITUTE(AD72,CHAR(160),""))),0),2)=0,
"",
ROUND(IFERROR(VALUE(TRIM(SUBSTITUTE(BL72,CHAR(160),""))),0),2)=
ROUND(IFERROR(VALUE(TRIM(SUBSTITUTE(AD72,CHAR(160),""))),0),2),
"OK",
ROUND(IFERROR(VALUE(TRIM(SUBSTITUTE(BL72,CHAR(160),""))),0),2)=0,
"Attention : Montant présenté entièrement rejeté.",
ROUND(IFERROR(VALUE(TRIM(SUBSTITUTE(BL72,CHAR(160),""))),0),2)&lt;
ROUND(IFERROR(VALUE(TRIM(SUBSTITUTE(AD72,CHAR(160),""))),0),2),
"Attention : Montant présenté partiellement rejeté.",
TRUE,""
))</f>
        <v/>
      </c>
      <c r="BP72" s="113" t="str">
        <f t="shared" si="44"/>
        <v/>
      </c>
      <c r="BQ72" s="113" t="str">
        <f t="shared" si="45"/>
        <v/>
      </c>
      <c r="BR72" s="33" t="str">
        <f t="shared" si="46"/>
        <v/>
      </c>
    </row>
    <row r="73" spans="1:70" ht="15" customHeight="1">
      <c r="A73" s="193">
        <v>65</v>
      </c>
      <c r="B73" s="7"/>
      <c r="C73" s="7"/>
      <c r="D73" s="19"/>
      <c r="E73" s="7"/>
      <c r="F73" s="7"/>
      <c r="G73" s="7"/>
      <c r="H73" s="7"/>
      <c r="I73" s="28"/>
      <c r="J73" s="7"/>
      <c r="K73" s="29"/>
      <c r="L73" s="678"/>
      <c r="M73" s="7"/>
      <c r="N73" s="672"/>
      <c r="O73" s="11"/>
      <c r="P73" s="107" t="str">
        <f t="shared" si="48"/>
        <v/>
      </c>
      <c r="Q73" s="699"/>
      <c r="R73" s="702"/>
      <c r="S73" s="684"/>
      <c r="T73" s="11"/>
      <c r="U73" s="107" t="str">
        <f t="shared" si="49"/>
        <v/>
      </c>
      <c r="V73" s="695"/>
      <c r="W73" s="685"/>
      <c r="X73" s="707"/>
      <c r="Y73" s="684"/>
      <c r="Z73" s="108" t="str">
        <f t="shared" si="50"/>
        <v/>
      </c>
      <c r="AA73" s="25"/>
      <c r="AB73" s="287" t="str" cm="1">
        <f t="array" ref="AB73">IF((_xlfn.IFS(TRIM(SUBSTITUTE(AA73,CHAR(160),""))="Devis 1",IFERROR(VALUE(TRIM(SUBSTITUTE(N73,CHAR(160),""))),0),TRIM(SUBSTITUTE(AA73,CHAR(160),""))="Devis 2",IFERROR(VALUE(TRIM(SUBSTITUTE(S73,CHAR(160),""))),0),TRIM(SUBSTITUTE(AA73,CHAR(160),""))="Devis 3",IFERROR(VALUE(TRIM(SUBSTITUTE(X73,CHAR(160),""))),0),TRUE,0)*IFERROR(VALUE(TRIM(SUBSTITUTE(D73,CHAR(160),""))),0))=0,"",_xlfn.IFS(TRIM(SUBSTITUTE(AA73,CHAR(160),""))="Devis 1",IFERROR(VALUE(TRIM(SUBSTITUTE(N73,CHAR(160),""))),0),TRIM(SUBSTITUTE(AA73,CHAR(160),""))="Devis 2",IFERROR(VALUE(TRIM(SUBSTITUTE(S73,CHAR(160),""))),0),TRIM(SUBSTITUTE(AA73,CHAR(160),""))="Devis 3",IFERROR(VALUE(TRIM(SUBSTITUTE(X73,CHAR(160),""))),0),TRUE,0)*IFERROR(VALUE(TRIM(SUBSTITUTE(D73,CHAR(160),""))),0))</f>
        <v/>
      </c>
      <c r="AC73" s="275" t="str" cm="1">
        <f t="array" ref="AC73">IF(_xlfn.IFS(TRIM(SUBSTITUTE(AA73,CHAR(160),""))="Devis 1",IFERROR(VALUE(TRIM(SUBSTITUTE(O73,CHAR(160),""))),0),TRIM(SUBSTITUTE(AA73,CHAR(160),""))="Devis 2",IFERROR(VALUE(TRIM(SUBSTITUTE(T73,CHAR(160),""))),0),TRIM(SUBSTITUTE(AA73,CHAR(160),""))="Devis 3",IFERROR(VALUE(TRIM(SUBSTITUTE(Y73,CHAR(160),""))),0),TRUE,0)*IFERROR(VALUE(TRIM(SUBSTITUTE(D73,CHAR(160),""))),0)=0,IF(AB73&lt;&gt;"",0,""),_xlfn.IFS(TRIM(SUBSTITUTE(AA73,CHAR(160),""))="Devis 1",IFERROR(VALUE(TRIM(SUBSTITUTE(O73,CHAR(160),""))),0),TRIM(SUBSTITUTE(AA73,CHAR(160),""))="Devis 2",IFERROR(VALUE(TRIM(SUBSTITUTE(T73,CHAR(160),""))),0),TRIM(SUBSTITUTE(AA73,CHAR(160),""))="Devis 3",IFERROR(VALUE(TRIM(SUBSTITUTE(Y73,CHAR(160),""))),0),TRUE,0)*IFERROR(VALUE(TRIM(SUBSTITUTE(D73,CHAR(160),""))),0))</f>
        <v/>
      </c>
      <c r="AD73" s="285" t="str">
        <f t="shared" si="51"/>
        <v/>
      </c>
      <c r="AE73" s="26"/>
      <c r="AF73" s="109" t="str">
        <f t="shared" si="14"/>
        <v/>
      </c>
      <c r="AG73" s="109" t="str">
        <f t="shared" si="15"/>
        <v/>
      </c>
      <c r="AH73" s="885" t="str">
        <f t="shared" si="16"/>
        <v/>
      </c>
      <c r="AI73" s="109" t="str">
        <f t="shared" si="17"/>
        <v/>
      </c>
      <c r="AJ73" s="109" t="str">
        <f t="shared" si="18"/>
        <v/>
      </c>
      <c r="AK73" s="109" t="str">
        <f t="shared" si="19"/>
        <v/>
      </c>
      <c r="AL73" s="109" t="str">
        <f t="shared" si="20"/>
        <v/>
      </c>
      <c r="AM73" s="109" t="str">
        <f t="shared" si="21"/>
        <v/>
      </c>
      <c r="AN73" s="109" t="str">
        <f t="shared" si="22"/>
        <v/>
      </c>
      <c r="AO73" s="109" t="str">
        <f t="shared" si="23"/>
        <v/>
      </c>
      <c r="AP73" s="754" t="str">
        <f t="shared" si="24"/>
        <v/>
      </c>
      <c r="AQ73" s="755" t="str">
        <f t="shared" si="25"/>
        <v/>
      </c>
      <c r="AR73" s="195" t="str">
        <f t="shared" si="26"/>
        <v/>
      </c>
      <c r="AS73" s="195" t="str">
        <f t="shared" si="27"/>
        <v/>
      </c>
      <c r="AT73" s="664" t="str">
        <f t="shared" si="28"/>
        <v/>
      </c>
      <c r="AU73" s="756" t="str">
        <f t="shared" si="29"/>
        <v/>
      </c>
      <c r="AV73" s="195" t="str">
        <f t="shared" si="30"/>
        <v/>
      </c>
      <c r="AW73" s="195" t="str">
        <f t="shared" si="31"/>
        <v/>
      </c>
      <c r="AX73" s="195" t="str">
        <f t="shared" si="32"/>
        <v/>
      </c>
      <c r="AY73" s="728" t="str">
        <f t="shared" si="33"/>
        <v/>
      </c>
      <c r="AZ73" s="195" t="str">
        <f t="shared" si="34"/>
        <v/>
      </c>
      <c r="BA73" s="195" t="str">
        <f t="shared" si="35"/>
        <v/>
      </c>
      <c r="BB73" s="195" t="str">
        <f t="shared" si="36"/>
        <v/>
      </c>
      <c r="BC73" s="195" t="str">
        <f t="shared" si="37"/>
        <v/>
      </c>
      <c r="BD73" s="112" t="str">
        <f t="shared" si="38"/>
        <v/>
      </c>
      <c r="BE73" s="109" t="str">
        <f t="shared" si="39"/>
        <v/>
      </c>
      <c r="BF73" s="602"/>
      <c r="BG73" s="113" t="str">
        <f t="shared" si="40"/>
        <v/>
      </c>
      <c r="BH73" s="113" t="str">
        <f t="shared" si="41"/>
        <v/>
      </c>
      <c r="BI73" s="113" t="str">
        <f t="shared" si="42"/>
        <v/>
      </c>
      <c r="BJ73" s="281" t="str" cm="1">
        <f t="array" ref="BJ73">IF($AH73="","",
_xlfn.IFS(
$BE73="Devis 1",
IF(ISBLANK(AR73),"",IFERROR(VALUE(TRIM(SUBSTITUTE(AR73,CHAR(160),""))),0)*IFERROR(VALUE(TRIM(SUBSTITUTE($AH73,CHAR(160),""))),0)),
$BE73="Devis 2",
IF(ISBLANK(AW73),"",IFERROR(VALUE(TRIM(SUBSTITUTE(AW73,CHAR(160),""))),0)*IFERROR(VALUE(TRIM(SUBSTITUTE($AH73,CHAR(160),""))),0)),
$BE73="Devis 3",
IF(ISBLANK(BB73),"",IFERROR(VALUE(TRIM(SUBSTITUTE(BB73,CHAR(160),""))),0)*IFERROR(VALUE(TRIM(SUBSTITUTE($AH73,CHAR(160),""))),0)),
TRUE,0
)
)</f>
        <v/>
      </c>
      <c r="BK73" s="281" t="str" cm="1">
        <f t="array" ref="BK73">IF($AH73="","",
_xlfn.IFS(
$BE73="Devis 1",
IF(ISBLANK(AS73),"",IFERROR(VALUE(TRIM(SUBSTITUTE(AS73,CHAR(160),""))),0)*IFERROR(VALUE(TRIM(SUBSTITUTE($AH73,CHAR(160),""))),0)),
$BE73="Devis 2",
IF(ISBLANK(AX73),"",IFERROR(VALUE(TRIM(SUBSTITUTE(AX73,CHAR(160),""))),0)*IFERROR(VALUE(TRIM(SUBSTITUTE($AH73,CHAR(160),""))),0)),
$BE73="Devis 3",
IF(ISBLANK(BC73),"",IFERROR(VALUE(TRIM(SUBSTITUTE(BC73,CHAR(160),""))),0)*IFERROR(VALUE(TRIM(SUBSTITUTE($AH73,CHAR(160),""))),0)),
TRUE,0
)
)</f>
        <v/>
      </c>
      <c r="BL73" s="281" t="str">
        <f t="shared" si="43"/>
        <v/>
      </c>
      <c r="BM73" s="602"/>
      <c r="BN73" s="23" t="str" cm="1">
        <f t="array" ref="BN73">IF(OR(BL73="",BI73="",BJ73="",BG73="",BK73="",BH73=""),"",_xlfn.IFS(
ROUND(IFERROR(VALUE(TRIM(SUBSTITUTE(BL73,CHAR(160),""))),0),2)&gt;
ROUND(IFERROR(VALUE(TRIM(SUBSTITUTE(BI73,CHAR(160),""))),0),2),
"KO : Le montant retenu TTC est supérieur au montant raisonnable TTC. Merci de revoir la ligne de dépense ou plafonner son montant.",
ROUND(IFERROR(VALUE(TRIM(SUBSTITUTE(BJ73,CHAR(160),""))),0),2)&gt;
ROUND(IFERROR(VALUE(TRIM(SUBSTITUTE(BG73,CHAR(160),""))),0),2),
"Attention : Le montant retenu HT est supérieur au montant HT raisonnable. Merci de revoir la ligne de dépense, plafonner son montant, ou justifier la reventillation HT / TVA.",
ROUND(IFERROR(VALUE(TRIM(SUBSTITUTE(BK73,CHAR(160),""))),0),2)&gt;
ROUND(IFERROR(VALUE(TRIM(SUBSTITUTE(BH73,CHAR(160),""))),0),2),
"Attention : Le montant TVA retenu est supérieur au montant TVA raisonnable. Merci de revoir la ligne de dépense, plafonner son montant, ou justifier la reventillation HT / TVA.",
ROUND(IFERROR(VALUE(TRIM(SUBSTITUTE(BL73,CHAR(160),""))),0),2)&gt;
ROUND(IFERROR(VALUE(TRIM(SUBSTITUTE(MIN(P73,U73,Z73),CHAR(160),""))),0),2),
"Attention : Le devis retenu n'est pas le moins cher. Une justification de la part du porteur est nécessaire.",
ROUND(IFERROR(VALUE(TRIM(SUBSTITUTE(BL73,CHAR(160),""))),0),2)=0,
"Attention : montant présenté entièrement écarté",
ROUND(IFERROR(VALUE(TRIM(SUBSTITUTE(BI73,CHAR(160),""))),0),2)=
ROUND(IFERROR(VALUE(TRIM(SUBSTITUTE(BL73,CHAR(160),""))),0),2),
"OK",
ROUND(IFERROR(VALUE(TRIM(SUBSTITUTE(BI73,CHAR(160),""))),0),2)&gt;
ROUND(IFERROR(VALUE(TRIM(SUBSTITUTE(BL73,CHAR(160),""))),0),2),
" OK : Montant instruit inférieur au montant raisonnable.",
TRUE,""
))</f>
        <v/>
      </c>
      <c r="BO73" s="23" t="str" cm="1">
        <f t="array" ref="BO73">IF(OR(BL73="",AD73="",BJ73="",AB73="",BK73="",AC73=""),"",_xlfn.IFS(
ROUND(IFERROR(VALUE(TRIM(SUBSTITUTE(BL73,CHAR(160),""))),0),2)&gt;
ROUND(IFERROR(VALUE(TRIM(SUBSTITUTE(AD73,CHAR(160),""))),0),2),
"KO : Le montant retenu TTC est supérieur au montant présenté TTC. Merci de revoir la ligne de dépense ou plafonner son montant.",
ROUND(IFERROR(VALUE(TRIM(SUBSTITUTE(BJ73,CHAR(160),""))),0),2)&gt;
ROUND(IFERROR(VALUE(TRIM(SUBSTITUTE(AB73,CHAR(160),""))),0),2),
"Attention : Le montant retenu HT est supérieur au montant HT présenté. Merci de revoir la ligne de dépense, plafonner son montant, ou justifier la reventillation HT / TVA.",
ROUND(IFERROR(VALUE(TRIM(SUBSTITUTE(BK73,CHAR(160),""))),0),2)&gt;
ROUND(IFERROR(VALUE(TRIM(SUBSTITUTE(AC73,CHAR(160),""))),0),2),
"Attention : Le montant TVA retenu est supérieur au montant TVA présenté. Merci de revoir la ligne de dépense, plafonner son montant, ou justifier la reventillation HT / TVA.",
ROUND(IFERROR(VALUE(TRIM(SUBSTITUTE(AD73,CHAR(160),""))),0),2)=0,
"",
ROUND(IFERROR(VALUE(TRIM(SUBSTITUTE(BL73,CHAR(160),""))),0),2)=
ROUND(IFERROR(VALUE(TRIM(SUBSTITUTE(AD73,CHAR(160),""))),0),2),
"OK",
ROUND(IFERROR(VALUE(TRIM(SUBSTITUTE(BL73,CHAR(160),""))),0),2)=0,
"Attention : Montant présenté entièrement rejeté.",
ROUND(IFERROR(VALUE(TRIM(SUBSTITUTE(BL73,CHAR(160),""))),0),2)&lt;
ROUND(IFERROR(VALUE(TRIM(SUBSTITUTE(AD73,CHAR(160),""))),0),2),
"Attention : Montant présenté partiellement rejeté.",
TRUE,""
))</f>
        <v/>
      </c>
      <c r="BP73" s="113" t="str">
        <f t="shared" si="44"/>
        <v/>
      </c>
      <c r="BQ73" s="113" t="str">
        <f t="shared" si="45"/>
        <v/>
      </c>
      <c r="BR73" s="33" t="str">
        <f t="shared" si="46"/>
        <v/>
      </c>
    </row>
    <row r="74" spans="1:70" ht="15" customHeight="1">
      <c r="A74" s="193">
        <v>66</v>
      </c>
      <c r="B74" s="7"/>
      <c r="C74" s="7"/>
      <c r="D74" s="19"/>
      <c r="E74" s="7"/>
      <c r="F74" s="7"/>
      <c r="G74" s="7"/>
      <c r="H74" s="7"/>
      <c r="I74" s="28"/>
      <c r="J74" s="7"/>
      <c r="K74" s="29"/>
      <c r="L74" s="678"/>
      <c r="M74" s="7"/>
      <c r="N74" s="672"/>
      <c r="O74" s="11"/>
      <c r="P74" s="107" t="str">
        <f t="shared" ref="P74:P108" si="52">IF(OR(N74="", O74=""), "", IFERROR(VALUE(TRIM(SUBSTITUTE(N74,CHAR(160),""))),0) + IFERROR(VALUE(TRIM(SUBSTITUTE(O74,CHAR(160),""))),0))</f>
        <v/>
      </c>
      <c r="Q74" s="699"/>
      <c r="R74" s="702"/>
      <c r="S74" s="684"/>
      <c r="T74" s="11"/>
      <c r="U74" s="107" t="str">
        <f t="shared" ref="U74:U108" si="53">IF(OR(S74="", T74=""), "", IFERROR(VALUE(TRIM(SUBSTITUTE(S74,CHAR(160),""))),0) + IFERROR(VALUE(TRIM(SUBSTITUTE(T74,CHAR(160),""))),0))</f>
        <v/>
      </c>
      <c r="V74" s="695"/>
      <c r="W74" s="685"/>
      <c r="X74" s="707"/>
      <c r="Y74" s="684"/>
      <c r="Z74" s="108" t="str">
        <f t="shared" ref="Z74:Z108" si="54">IF(OR(X74="", Y74=""), "", IFERROR(VALUE(TRIM(SUBSTITUTE(X74,CHAR(160),""))),0) + IFERROR(VALUE(TRIM(SUBSTITUTE(Y74,CHAR(160),""))),0))</f>
        <v/>
      </c>
      <c r="AA74" s="25"/>
      <c r="AB74" s="287" t="str" cm="1">
        <f t="array" ref="AB74">IF((_xlfn.IFS(TRIM(SUBSTITUTE(AA74,CHAR(160),""))="Devis 1",IFERROR(VALUE(TRIM(SUBSTITUTE(N74,CHAR(160),""))),0),TRIM(SUBSTITUTE(AA74,CHAR(160),""))="Devis 2",IFERROR(VALUE(TRIM(SUBSTITUTE(S74,CHAR(160),""))),0),TRIM(SUBSTITUTE(AA74,CHAR(160),""))="Devis 3",IFERROR(VALUE(TRIM(SUBSTITUTE(X74,CHAR(160),""))),0),TRUE,0)*IFERROR(VALUE(TRIM(SUBSTITUTE(D74,CHAR(160),""))),0))=0,"",_xlfn.IFS(TRIM(SUBSTITUTE(AA74,CHAR(160),""))="Devis 1",IFERROR(VALUE(TRIM(SUBSTITUTE(N74,CHAR(160),""))),0),TRIM(SUBSTITUTE(AA74,CHAR(160),""))="Devis 2",IFERROR(VALUE(TRIM(SUBSTITUTE(S74,CHAR(160),""))),0),TRIM(SUBSTITUTE(AA74,CHAR(160),""))="Devis 3",IFERROR(VALUE(TRIM(SUBSTITUTE(X74,CHAR(160),""))),0),TRUE,0)*IFERROR(VALUE(TRIM(SUBSTITUTE(D74,CHAR(160),""))),0))</f>
        <v/>
      </c>
      <c r="AC74" s="275" t="str" cm="1">
        <f t="array" ref="AC74">IF(_xlfn.IFS(TRIM(SUBSTITUTE(AA74,CHAR(160),""))="Devis 1",IFERROR(VALUE(TRIM(SUBSTITUTE(O74,CHAR(160),""))),0),TRIM(SUBSTITUTE(AA74,CHAR(160),""))="Devis 2",IFERROR(VALUE(TRIM(SUBSTITUTE(T74,CHAR(160),""))),0),TRIM(SUBSTITUTE(AA74,CHAR(160),""))="Devis 3",IFERROR(VALUE(TRIM(SUBSTITUTE(Y74,CHAR(160),""))),0),TRUE,0)*IFERROR(VALUE(TRIM(SUBSTITUTE(D74,CHAR(160),""))),0)=0,IF(AB74&lt;&gt;"",0,""),_xlfn.IFS(TRIM(SUBSTITUTE(AA74,CHAR(160),""))="Devis 1",IFERROR(VALUE(TRIM(SUBSTITUTE(O74,CHAR(160),""))),0),TRIM(SUBSTITUTE(AA74,CHAR(160),""))="Devis 2",IFERROR(VALUE(TRIM(SUBSTITUTE(T74,CHAR(160),""))),0),TRIM(SUBSTITUTE(AA74,CHAR(160),""))="Devis 3",IFERROR(VALUE(TRIM(SUBSTITUTE(Y74,CHAR(160),""))),0),TRUE,0)*IFERROR(VALUE(TRIM(SUBSTITUTE(D74,CHAR(160),""))),0))</f>
        <v/>
      </c>
      <c r="AD74" s="285" t="str">
        <f t="shared" si="51"/>
        <v/>
      </c>
      <c r="AE74" s="26"/>
      <c r="AF74" s="109" t="str">
        <f t="shared" ref="AF74:AF108" si="55">IF(B74="","",B74)</f>
        <v/>
      </c>
      <c r="AG74" s="109" t="str">
        <f t="shared" ref="AG74:AG108" si="56">IF(C74="","",C74)</f>
        <v/>
      </c>
      <c r="AH74" s="885" t="str">
        <f t="shared" ref="AH74:AH108" si="57">IF(D74="","",D74)</f>
        <v/>
      </c>
      <c r="AI74" s="109" t="str">
        <f t="shared" ref="AI74:AI108" si="58">IF(E74="","",E74)</f>
        <v/>
      </c>
      <c r="AJ74" s="109" t="str">
        <f t="shared" ref="AJ74:AJ108" si="59">IF(F74="","",F74)</f>
        <v/>
      </c>
      <c r="AK74" s="109" t="str">
        <f t="shared" ref="AK74:AK108" si="60">IF(G74="","",G74)</f>
        <v/>
      </c>
      <c r="AL74" s="109" t="str">
        <f t="shared" ref="AL74:AL108" si="61">IF(H74="","",H74)</f>
        <v/>
      </c>
      <c r="AM74" s="109" t="str">
        <f t="shared" ref="AM74:AM108" si="62">IF(I74="","",I74)</f>
        <v/>
      </c>
      <c r="AN74" s="109" t="str">
        <f t="shared" ref="AN74:AN108" si="63">IF(J74="","",J74)</f>
        <v/>
      </c>
      <c r="AO74" s="109" t="str">
        <f t="shared" ref="AO74:AO108" si="64">IF(K74="","",K74)</f>
        <v/>
      </c>
      <c r="AP74" s="754" t="str">
        <f t="shared" ref="AP74:AP108" si="65">IF(L74="","",L74)</f>
        <v/>
      </c>
      <c r="AQ74" s="755" t="str">
        <f t="shared" ref="AQ74:AQ108" si="66">IF(M74="","",M74)</f>
        <v/>
      </c>
      <c r="AR74" s="195" t="str">
        <f t="shared" ref="AR74:AR108" si="67">IF(N74="","",N74)</f>
        <v/>
      </c>
      <c r="AS74" s="195" t="str">
        <f t="shared" ref="AS74:AS108" si="68">IF(O74="","",O74)</f>
        <v/>
      </c>
      <c r="AT74" s="664" t="str">
        <f t="shared" ref="AT74:AT108" si="69">IF(OR(AR74="", AS74=""), "", IFERROR(VALUE(TRIM(SUBSTITUTE(AR74,CHAR(160),""))),0) + IFERROR(VALUE(TRIM(SUBSTITUTE(AS74,CHAR(160),""))),0))</f>
        <v/>
      </c>
      <c r="AU74" s="756" t="str">
        <f t="shared" ref="AU74:AU108" si="70">IF(Q74="","",Q74)</f>
        <v/>
      </c>
      <c r="AV74" s="195" t="str">
        <f t="shared" ref="AV74:AV108" si="71">IF(R74="","",R74)</f>
        <v/>
      </c>
      <c r="AW74" s="195" t="str">
        <f t="shared" ref="AW74:AW108" si="72">IF(S74="","",S74)</f>
        <v/>
      </c>
      <c r="AX74" s="195" t="str">
        <f t="shared" ref="AX74:AX108" si="73">IF(T74="","",T74)</f>
        <v/>
      </c>
      <c r="AY74" s="728" t="str">
        <f t="shared" ref="AY74:AY108" si="74">IF(OR(AW74="",AX74=""),"",IFERROR(VALUE(TRIM(SUBSTITUTE(AW74,CHAR(160),""))),0)+IFERROR(VALUE(TRIM(SUBSTITUTE(AX74,CHAR(160),""))),0))</f>
        <v/>
      </c>
      <c r="AZ74" s="195" t="str">
        <f t="shared" ref="AZ74:AZ108" si="75">IF(V74="","",V74)</f>
        <v/>
      </c>
      <c r="BA74" s="195" t="str">
        <f t="shared" ref="BA74:BA108" si="76">IF(W74="","",W74)</f>
        <v/>
      </c>
      <c r="BB74" s="195" t="str">
        <f t="shared" ref="BB74:BB108" si="77">IF(X74="","",X74)</f>
        <v/>
      </c>
      <c r="BC74" s="195" t="str">
        <f t="shared" ref="BC74:BC108" si="78">IF(Y74="","",Y74)</f>
        <v/>
      </c>
      <c r="BD74" s="112" t="str">
        <f t="shared" ref="BD74:BD108" si="79">IF(OR(BB74="",BC74=""),"",IFERROR(VALUE(TRIM(SUBSTITUTE(BB74,CHAR(160),""))),0)+IFERROR(VALUE(TRIM(SUBSTITUTE(BC74,CHAR(160),""))),0))</f>
        <v/>
      </c>
      <c r="BE74" s="109" t="str">
        <f t="shared" ref="BE74:BE108" si="80">IF(AA74="","",AA74)</f>
        <v/>
      </c>
      <c r="BF74" s="602"/>
      <c r="BG74" s="113" t="str">
        <f t="shared" ref="BG74:BG108" si="81">IF(AI74="","",
IF(
AND(
IFERROR(VALUE(TRIM(SUBSTITUTE(AR74,CHAR(160),""))),0)=0,
IFERROR(VALUE(TRIM(SUBSTITUTE(AW74,CHAR(160),""))),0)=0,
IFERROR(VALUE(TRIM(SUBSTITUTE(BB74,CHAR(160),""))),0)=0
),
0,
IF(
1.15*
MIN(
IF(IFERROR(VALUE(TRIM(SUBSTITUTE(AR74,CHAR(160),""))),0)=0,1E+30,IFERROR(VALUE(TRIM(SUBSTITUTE(AR74,CHAR(160),""))),0)),
IF(IFERROR(VALUE(TRIM(SUBSTITUTE(AW74,CHAR(160),""))),0)=0,1E+30,IFERROR(VALUE(TRIM(SUBSTITUTE(AW74,CHAR(160),""))),0)),
IF(IFERROR(VALUE(TRIM(SUBSTITUTE(BB74,CHAR(160),""))),0)=0,1E+30,IFERROR(VALUE(TRIM(SUBSTITUTE(BB74,CHAR(160),""))),0))
)
*IFERROR(VALUE(TRIM(SUBSTITUTE(AH74,CHAR(160),""))),0)
=0,
0,
1.15*
MIN(
IF(IFERROR(VALUE(TRIM(SUBSTITUTE(AR74,CHAR(160),""))),0)=0,1E+30,IFERROR(VALUE(TRIM(SUBSTITUTE(AR74,CHAR(160),""))),0)),
IF(IFERROR(VALUE(TRIM(SUBSTITUTE(AW74,CHAR(160),""))),0)=0,1E+30,IFERROR(VALUE(TRIM(SUBSTITUTE(AW74,CHAR(160),""))),0)),
IF(IFERROR(VALUE(TRIM(SUBSTITUTE(BB74,CHAR(160),""))),0)=0,1E+30,IFERROR(VALUE(TRIM(SUBSTITUTE(BB74,CHAR(160),""))),0))
)
*IFERROR(VALUE(TRIM(SUBSTITUTE(AH74,CHAR(160),""))),0)
)
)
)</f>
        <v/>
      </c>
      <c r="BH74" s="113" t="str">
        <f t="shared" ref="BH74:BH108" si="82">IF(AI74="","",
IF(
AND(
IFERROR(VALUE(TRIM(SUBSTITUTE(AS74,CHAR(160),""))),0)=0,
IFERROR(VALUE(TRIM(SUBSTITUTE(AX74,CHAR(160),""))),0)=0,
IFERROR(VALUE(TRIM(SUBSTITUTE(BC74,CHAR(160),""))),0)=0
),
0,
IF(
1.15*
MIN(
IF(IFERROR(VALUE(TRIM(SUBSTITUTE(AS74,CHAR(160),""))),0)=0,1E+30,IFERROR(VALUE(TRIM(SUBSTITUTE(AS74,CHAR(160),""))),0)),
IF(IFERROR(VALUE(TRIM(SUBSTITUTE(AX74,CHAR(160),""))),0)=0,1E+30,IFERROR(VALUE(TRIM(SUBSTITUTE(AX74,CHAR(160),""))),0)),
IF(IFERROR(VALUE(TRIM(SUBSTITUTE(BC74,CHAR(160),""))),0)=0,1E+30,IFERROR(VALUE(TRIM(SUBSTITUTE(BC74,CHAR(160),""))),0))
)
*IFERROR(VALUE(TRIM(SUBSTITUTE(AH74,CHAR(160),""))),0)
=0,
0,
1.15*
MIN(
IF(IFERROR(VALUE(TRIM(SUBSTITUTE(AS74,CHAR(160),""))),0)=0,1E+30,IFERROR(VALUE(TRIM(SUBSTITUTE(AS74,CHAR(160),""))),0)),
IF(IFERROR(VALUE(TRIM(SUBSTITUTE(AX74,CHAR(160),""))),0)=0,1E+30,IFERROR(VALUE(TRIM(SUBSTITUTE(AX74,CHAR(160),""))),0)),
IF(IFERROR(VALUE(TRIM(SUBSTITUTE(BC74,CHAR(160),""))),0)=0,1E+30,IFERROR(VALUE(TRIM(SUBSTITUTE(BC74,CHAR(160),""))),0))
)
*IFERROR(VALUE(TRIM(SUBSTITUTE(AH74,CHAR(160),""))),0)
)
)
)</f>
        <v/>
      </c>
      <c r="BI74" s="113" t="str">
        <f t="shared" ref="BI74:BI108" si="83">IF(BG74="","",BG74+BH74)</f>
        <v/>
      </c>
      <c r="BJ74" s="281" t="str" cm="1">
        <f t="array" ref="BJ74">IF($AH74="","",
_xlfn.IFS(
$BE74="Devis 1",
IF(ISBLANK(AR74),"",IFERROR(VALUE(TRIM(SUBSTITUTE(AR74,CHAR(160),""))),0)*IFERROR(VALUE(TRIM(SUBSTITUTE($AH74,CHAR(160),""))),0)),
$BE74="Devis 2",
IF(ISBLANK(AW74),"",IFERROR(VALUE(TRIM(SUBSTITUTE(AW74,CHAR(160),""))),0)*IFERROR(VALUE(TRIM(SUBSTITUTE($AH74,CHAR(160),""))),0)),
$BE74="Devis 3",
IF(ISBLANK(BB74),"",IFERROR(VALUE(TRIM(SUBSTITUTE(BB74,CHAR(160),""))),0)*IFERROR(VALUE(TRIM(SUBSTITUTE($AH74,CHAR(160),""))),0)),
TRUE,0
)
)</f>
        <v/>
      </c>
      <c r="BK74" s="281" t="str" cm="1">
        <f t="array" ref="BK74">IF($AH74="","",
_xlfn.IFS(
$BE74="Devis 1",
IF(ISBLANK(AS74),"",IFERROR(VALUE(TRIM(SUBSTITUTE(AS74,CHAR(160),""))),0)*IFERROR(VALUE(TRIM(SUBSTITUTE($AH74,CHAR(160),""))),0)),
$BE74="Devis 2",
IF(ISBLANK(AX74),"",IFERROR(VALUE(TRIM(SUBSTITUTE(AX74,CHAR(160),""))),0)*IFERROR(VALUE(TRIM(SUBSTITUTE($AH74,CHAR(160),""))),0)),
$BE74="Devis 3",
IF(ISBLANK(BC74),"",IFERROR(VALUE(TRIM(SUBSTITUTE(BC74,CHAR(160),""))),0)*IFERROR(VALUE(TRIM(SUBSTITUTE($AH74,CHAR(160),""))),0)),
TRUE,0
)
)</f>
        <v/>
      </c>
      <c r="BL74" s="281" t="str">
        <f t="shared" ref="BL74:BL108" si="84">IF(BJ74="","",BJ74+BK74)</f>
        <v/>
      </c>
      <c r="BM74" s="602"/>
      <c r="BN74" s="23" t="str" cm="1">
        <f t="array" ref="BN74">IF(OR(BL74="",BI74="",BJ74="",BG74="",BK74="",BH74=""),"",_xlfn.IFS(
ROUND(IFERROR(VALUE(TRIM(SUBSTITUTE(BL74,CHAR(160),""))),0),2)&gt;
ROUND(IFERROR(VALUE(TRIM(SUBSTITUTE(BI74,CHAR(160),""))),0),2),
"KO : Le montant retenu TTC est supérieur au montant raisonnable TTC. Merci de revoir la ligne de dépense ou plafonner son montant.",
ROUND(IFERROR(VALUE(TRIM(SUBSTITUTE(BJ74,CHAR(160),""))),0),2)&gt;
ROUND(IFERROR(VALUE(TRIM(SUBSTITUTE(BG74,CHAR(160),""))),0),2),
"Attention : Le montant retenu HT est supérieur au montant HT raisonnable. Merci de revoir la ligne de dépense, plafonner son montant, ou justifier la reventillation HT / TVA.",
ROUND(IFERROR(VALUE(TRIM(SUBSTITUTE(BK74,CHAR(160),""))),0),2)&gt;
ROUND(IFERROR(VALUE(TRIM(SUBSTITUTE(BH74,CHAR(160),""))),0),2),
"Attention : Le montant TVA retenu est supérieur au montant TVA raisonnable. Merci de revoir la ligne de dépense, plafonner son montant, ou justifier la reventillation HT / TVA.",
ROUND(IFERROR(VALUE(TRIM(SUBSTITUTE(BL74,CHAR(160),""))),0),2)&gt;
ROUND(IFERROR(VALUE(TRIM(SUBSTITUTE(MIN(P74,U74,Z74),CHAR(160),""))),0),2),
"Attention : Le devis retenu n'est pas le moins cher. Une justification de la part du porteur est nécessaire.",
ROUND(IFERROR(VALUE(TRIM(SUBSTITUTE(BL74,CHAR(160),""))),0),2)=0,
"Attention : montant présenté entièrement écarté",
ROUND(IFERROR(VALUE(TRIM(SUBSTITUTE(BI74,CHAR(160),""))),0),2)=
ROUND(IFERROR(VALUE(TRIM(SUBSTITUTE(BL74,CHAR(160),""))),0),2),
"OK",
ROUND(IFERROR(VALUE(TRIM(SUBSTITUTE(BI74,CHAR(160),""))),0),2)&gt;
ROUND(IFERROR(VALUE(TRIM(SUBSTITUTE(BL74,CHAR(160),""))),0),2),
" OK : Montant instruit inférieur au montant raisonnable.",
TRUE,""
))</f>
        <v/>
      </c>
      <c r="BO74" s="23" t="str" cm="1">
        <f t="array" ref="BO74">IF(OR(BL74="",AD74="",BJ74="",AB74="",BK74="",AC74=""),"",_xlfn.IFS(
ROUND(IFERROR(VALUE(TRIM(SUBSTITUTE(BL74,CHAR(160),""))),0),2)&gt;
ROUND(IFERROR(VALUE(TRIM(SUBSTITUTE(AD74,CHAR(160),""))),0),2),
"KO : Le montant retenu TTC est supérieur au montant présenté TTC. Merci de revoir la ligne de dépense ou plafonner son montant.",
ROUND(IFERROR(VALUE(TRIM(SUBSTITUTE(BJ74,CHAR(160),""))),0),2)&gt;
ROUND(IFERROR(VALUE(TRIM(SUBSTITUTE(AB74,CHAR(160),""))),0),2),
"Attention : Le montant retenu HT est supérieur au montant HT présenté. Merci de revoir la ligne de dépense, plafonner son montant, ou justifier la reventillation HT / TVA.",
ROUND(IFERROR(VALUE(TRIM(SUBSTITUTE(BK74,CHAR(160),""))),0),2)&gt;
ROUND(IFERROR(VALUE(TRIM(SUBSTITUTE(AC74,CHAR(160),""))),0),2),
"Attention : Le montant TVA retenu est supérieur au montant TVA présenté. Merci de revoir la ligne de dépense, plafonner son montant, ou justifier la reventillation HT / TVA.",
ROUND(IFERROR(VALUE(TRIM(SUBSTITUTE(AD74,CHAR(160),""))),0),2)=0,
"",
ROUND(IFERROR(VALUE(TRIM(SUBSTITUTE(BL74,CHAR(160),""))),0),2)=
ROUND(IFERROR(VALUE(TRIM(SUBSTITUTE(AD74,CHAR(160),""))),0),2),
"OK",
ROUND(IFERROR(VALUE(TRIM(SUBSTITUTE(BL74,CHAR(160),""))),0),2)=0,
"Attention : Montant présenté entièrement rejeté.",
ROUND(IFERROR(VALUE(TRIM(SUBSTITUTE(BL74,CHAR(160),""))),0),2)&lt;
ROUND(IFERROR(VALUE(TRIM(SUBSTITUTE(AD74,CHAR(160),""))),0),2),
"Attention : Montant présenté partiellement rejeté.",
TRUE,""
))</f>
        <v/>
      </c>
      <c r="BP74" s="113" t="str">
        <f t="shared" ref="BP74:BP108" si="85">IF(OR(AB74="",BJ74=""),"",(IFERROR(VALUE(TRIM(SUBSTITUTE(AB74,CHAR(160),""))),0))-(IFERROR(VALUE(TRIM(SUBSTITUTE(BJ74,CHAR(160),""))),0)))</f>
        <v/>
      </c>
      <c r="BQ74" s="113" t="str">
        <f t="shared" ref="BQ74:BQ108" si="86">IF(OR(AC74="",BK74=""),"",(IFERROR(VALUE(TRIM(SUBSTITUTE(AC74,CHAR(160),""))),0))-(IFERROR(VALUE(TRIM(SUBSTITUTE(BK74,CHAR(160),""))),0)))</f>
        <v/>
      </c>
      <c r="BR74" s="33" t="str">
        <f t="shared" ref="BR74:BR108" si="87">IF(OR(AD74="",BL74=""),"",(IFERROR(VALUE(TRIM(SUBSTITUTE(AD74,CHAR(160),""))),0))-(IFERROR(VALUE(TRIM(SUBSTITUTE(BL74,CHAR(160),""))),0)))</f>
        <v/>
      </c>
    </row>
    <row r="75" spans="1:70" ht="15" customHeight="1">
      <c r="A75" s="193">
        <v>67</v>
      </c>
      <c r="B75" s="7"/>
      <c r="C75" s="7"/>
      <c r="D75" s="19"/>
      <c r="E75" s="7"/>
      <c r="F75" s="7"/>
      <c r="G75" s="7"/>
      <c r="H75" s="7"/>
      <c r="I75" s="28"/>
      <c r="J75" s="7"/>
      <c r="K75" s="29"/>
      <c r="L75" s="678"/>
      <c r="M75" s="7"/>
      <c r="N75" s="672"/>
      <c r="O75" s="11"/>
      <c r="P75" s="107" t="str">
        <f t="shared" si="52"/>
        <v/>
      </c>
      <c r="Q75" s="699"/>
      <c r="R75" s="702"/>
      <c r="S75" s="684"/>
      <c r="T75" s="11"/>
      <c r="U75" s="107" t="str">
        <f t="shared" si="53"/>
        <v/>
      </c>
      <c r="V75" s="695"/>
      <c r="W75" s="685"/>
      <c r="X75" s="707"/>
      <c r="Y75" s="684"/>
      <c r="Z75" s="108" t="str">
        <f t="shared" si="54"/>
        <v/>
      </c>
      <c r="AA75" s="25"/>
      <c r="AB75" s="287" t="str" cm="1">
        <f t="array" ref="AB75">IF((_xlfn.IFS(TRIM(SUBSTITUTE(AA75,CHAR(160),""))="Devis 1",IFERROR(VALUE(TRIM(SUBSTITUTE(N75,CHAR(160),""))),0),TRIM(SUBSTITUTE(AA75,CHAR(160),""))="Devis 2",IFERROR(VALUE(TRIM(SUBSTITUTE(S75,CHAR(160),""))),0),TRIM(SUBSTITUTE(AA75,CHAR(160),""))="Devis 3",IFERROR(VALUE(TRIM(SUBSTITUTE(X75,CHAR(160),""))),0),TRUE,0)*IFERROR(VALUE(TRIM(SUBSTITUTE(D75,CHAR(160),""))),0))=0,"",_xlfn.IFS(TRIM(SUBSTITUTE(AA75,CHAR(160),""))="Devis 1",IFERROR(VALUE(TRIM(SUBSTITUTE(N75,CHAR(160),""))),0),TRIM(SUBSTITUTE(AA75,CHAR(160),""))="Devis 2",IFERROR(VALUE(TRIM(SUBSTITUTE(S75,CHAR(160),""))),0),TRIM(SUBSTITUTE(AA75,CHAR(160),""))="Devis 3",IFERROR(VALUE(TRIM(SUBSTITUTE(X75,CHAR(160),""))),0),TRUE,0)*IFERROR(VALUE(TRIM(SUBSTITUTE(D75,CHAR(160),""))),0))</f>
        <v/>
      </c>
      <c r="AC75" s="275" t="str" cm="1">
        <f t="array" ref="AC75">IF(_xlfn.IFS(TRIM(SUBSTITUTE(AA75,CHAR(160),""))="Devis 1",IFERROR(VALUE(TRIM(SUBSTITUTE(O75,CHAR(160),""))),0),TRIM(SUBSTITUTE(AA75,CHAR(160),""))="Devis 2",IFERROR(VALUE(TRIM(SUBSTITUTE(T75,CHAR(160),""))),0),TRIM(SUBSTITUTE(AA75,CHAR(160),""))="Devis 3",IFERROR(VALUE(TRIM(SUBSTITUTE(Y75,CHAR(160),""))),0),TRUE,0)*IFERROR(VALUE(TRIM(SUBSTITUTE(D75,CHAR(160),""))),0)=0,IF(AB75&lt;&gt;"",0,""),_xlfn.IFS(TRIM(SUBSTITUTE(AA75,CHAR(160),""))="Devis 1",IFERROR(VALUE(TRIM(SUBSTITUTE(O75,CHAR(160),""))),0),TRIM(SUBSTITUTE(AA75,CHAR(160),""))="Devis 2",IFERROR(VALUE(TRIM(SUBSTITUTE(T75,CHAR(160),""))),0),TRIM(SUBSTITUTE(AA75,CHAR(160),""))="Devis 3",IFERROR(VALUE(TRIM(SUBSTITUTE(Y75,CHAR(160),""))),0),TRUE,0)*IFERROR(VALUE(TRIM(SUBSTITUTE(D75,CHAR(160),""))),0))</f>
        <v/>
      </c>
      <c r="AD75" s="285" t="str">
        <f t="shared" ref="AD75:AD108" si="88">IF(OR(AB75="", AC75=""), "", IFERROR(VALUE(TRIM(SUBSTITUTE(AB75,CHAR(160),""))),0) + IFERROR(VALUE(TRIM(SUBSTITUTE(AC75,CHAR(160),""))),0))</f>
        <v/>
      </c>
      <c r="AE75" s="26"/>
      <c r="AF75" s="109" t="str">
        <f t="shared" si="55"/>
        <v/>
      </c>
      <c r="AG75" s="109" t="str">
        <f t="shared" si="56"/>
        <v/>
      </c>
      <c r="AH75" s="885" t="str">
        <f t="shared" si="57"/>
        <v/>
      </c>
      <c r="AI75" s="109" t="str">
        <f t="shared" si="58"/>
        <v/>
      </c>
      <c r="AJ75" s="109" t="str">
        <f t="shared" si="59"/>
        <v/>
      </c>
      <c r="AK75" s="109" t="str">
        <f t="shared" si="60"/>
        <v/>
      </c>
      <c r="AL75" s="109" t="str">
        <f t="shared" si="61"/>
        <v/>
      </c>
      <c r="AM75" s="109" t="str">
        <f t="shared" si="62"/>
        <v/>
      </c>
      <c r="AN75" s="109" t="str">
        <f t="shared" si="63"/>
        <v/>
      </c>
      <c r="AO75" s="109" t="str">
        <f t="shared" si="64"/>
        <v/>
      </c>
      <c r="AP75" s="754" t="str">
        <f t="shared" si="65"/>
        <v/>
      </c>
      <c r="AQ75" s="755" t="str">
        <f t="shared" si="66"/>
        <v/>
      </c>
      <c r="AR75" s="195" t="str">
        <f t="shared" si="67"/>
        <v/>
      </c>
      <c r="AS75" s="195" t="str">
        <f t="shared" si="68"/>
        <v/>
      </c>
      <c r="AT75" s="664" t="str">
        <f t="shared" si="69"/>
        <v/>
      </c>
      <c r="AU75" s="756" t="str">
        <f t="shared" si="70"/>
        <v/>
      </c>
      <c r="AV75" s="195" t="str">
        <f t="shared" si="71"/>
        <v/>
      </c>
      <c r="AW75" s="195" t="str">
        <f t="shared" si="72"/>
        <v/>
      </c>
      <c r="AX75" s="195" t="str">
        <f t="shared" si="73"/>
        <v/>
      </c>
      <c r="AY75" s="728" t="str">
        <f t="shared" si="74"/>
        <v/>
      </c>
      <c r="AZ75" s="195" t="str">
        <f t="shared" si="75"/>
        <v/>
      </c>
      <c r="BA75" s="195" t="str">
        <f t="shared" si="76"/>
        <v/>
      </c>
      <c r="BB75" s="195" t="str">
        <f t="shared" si="77"/>
        <v/>
      </c>
      <c r="BC75" s="195" t="str">
        <f t="shared" si="78"/>
        <v/>
      </c>
      <c r="BD75" s="112" t="str">
        <f t="shared" si="79"/>
        <v/>
      </c>
      <c r="BE75" s="109" t="str">
        <f t="shared" si="80"/>
        <v/>
      </c>
      <c r="BF75" s="602"/>
      <c r="BG75" s="113" t="str">
        <f t="shared" si="81"/>
        <v/>
      </c>
      <c r="BH75" s="113" t="str">
        <f t="shared" si="82"/>
        <v/>
      </c>
      <c r="BI75" s="113" t="str">
        <f t="shared" si="83"/>
        <v/>
      </c>
      <c r="BJ75" s="281" t="str" cm="1">
        <f t="array" ref="BJ75">IF($AH75="","",
_xlfn.IFS(
$BE75="Devis 1",
IF(ISBLANK(AR75),"",IFERROR(VALUE(TRIM(SUBSTITUTE(AR75,CHAR(160),""))),0)*IFERROR(VALUE(TRIM(SUBSTITUTE($AH75,CHAR(160),""))),0)),
$BE75="Devis 2",
IF(ISBLANK(AW75),"",IFERROR(VALUE(TRIM(SUBSTITUTE(AW75,CHAR(160),""))),0)*IFERROR(VALUE(TRIM(SUBSTITUTE($AH75,CHAR(160),""))),0)),
$BE75="Devis 3",
IF(ISBLANK(BB75),"",IFERROR(VALUE(TRIM(SUBSTITUTE(BB75,CHAR(160),""))),0)*IFERROR(VALUE(TRIM(SUBSTITUTE($AH75,CHAR(160),""))),0)),
TRUE,0
)
)</f>
        <v/>
      </c>
      <c r="BK75" s="281" t="str" cm="1">
        <f t="array" ref="BK75">IF($AH75="","",
_xlfn.IFS(
$BE75="Devis 1",
IF(ISBLANK(AS75),"",IFERROR(VALUE(TRIM(SUBSTITUTE(AS75,CHAR(160),""))),0)*IFERROR(VALUE(TRIM(SUBSTITUTE($AH75,CHAR(160),""))),0)),
$BE75="Devis 2",
IF(ISBLANK(AX75),"",IFERROR(VALUE(TRIM(SUBSTITUTE(AX75,CHAR(160),""))),0)*IFERROR(VALUE(TRIM(SUBSTITUTE($AH75,CHAR(160),""))),0)),
$BE75="Devis 3",
IF(ISBLANK(BC75),"",IFERROR(VALUE(TRIM(SUBSTITUTE(BC75,CHAR(160),""))),0)*IFERROR(VALUE(TRIM(SUBSTITUTE($AH75,CHAR(160),""))),0)),
TRUE,0
)
)</f>
        <v/>
      </c>
      <c r="BL75" s="281" t="str">
        <f t="shared" si="84"/>
        <v/>
      </c>
      <c r="BM75" s="602"/>
      <c r="BN75" s="23" t="str" cm="1">
        <f t="array" ref="BN75">IF(OR(BL75="",BI75="",BJ75="",BG75="",BK75="",BH75=""),"",_xlfn.IFS(
ROUND(IFERROR(VALUE(TRIM(SUBSTITUTE(BL75,CHAR(160),""))),0),2)&gt;
ROUND(IFERROR(VALUE(TRIM(SUBSTITUTE(BI75,CHAR(160),""))),0),2),
"KO : Le montant retenu TTC est supérieur au montant raisonnable TTC. Merci de revoir la ligne de dépense ou plafonner son montant.",
ROUND(IFERROR(VALUE(TRIM(SUBSTITUTE(BJ75,CHAR(160),""))),0),2)&gt;
ROUND(IFERROR(VALUE(TRIM(SUBSTITUTE(BG75,CHAR(160),""))),0),2),
"Attention : Le montant retenu HT est supérieur au montant HT raisonnable. Merci de revoir la ligne de dépense, plafonner son montant, ou justifier la reventillation HT / TVA.",
ROUND(IFERROR(VALUE(TRIM(SUBSTITUTE(BK75,CHAR(160),""))),0),2)&gt;
ROUND(IFERROR(VALUE(TRIM(SUBSTITUTE(BH75,CHAR(160),""))),0),2),
"Attention : Le montant TVA retenu est supérieur au montant TVA raisonnable. Merci de revoir la ligne de dépense, plafonner son montant, ou justifier la reventillation HT / TVA.",
ROUND(IFERROR(VALUE(TRIM(SUBSTITUTE(BL75,CHAR(160),""))),0),2)&gt;
ROUND(IFERROR(VALUE(TRIM(SUBSTITUTE(MIN(P75,U75,Z75),CHAR(160),""))),0),2),
"Attention : Le devis retenu n'est pas le moins cher. Une justification de la part du porteur est nécessaire.",
ROUND(IFERROR(VALUE(TRIM(SUBSTITUTE(BL75,CHAR(160),""))),0),2)=0,
"Attention : montant présenté entièrement écarté",
ROUND(IFERROR(VALUE(TRIM(SUBSTITUTE(BI75,CHAR(160),""))),0),2)=
ROUND(IFERROR(VALUE(TRIM(SUBSTITUTE(BL75,CHAR(160),""))),0),2),
"OK",
ROUND(IFERROR(VALUE(TRIM(SUBSTITUTE(BI75,CHAR(160),""))),0),2)&gt;
ROUND(IFERROR(VALUE(TRIM(SUBSTITUTE(BL75,CHAR(160),""))),0),2),
" OK : Montant instruit inférieur au montant raisonnable.",
TRUE,""
))</f>
        <v/>
      </c>
      <c r="BO75" s="23" t="str" cm="1">
        <f t="array" ref="BO75">IF(OR(BL75="",AD75="",BJ75="",AB75="",BK75="",AC75=""),"",_xlfn.IFS(
ROUND(IFERROR(VALUE(TRIM(SUBSTITUTE(BL75,CHAR(160),""))),0),2)&gt;
ROUND(IFERROR(VALUE(TRIM(SUBSTITUTE(AD75,CHAR(160),""))),0),2),
"KO : Le montant retenu TTC est supérieur au montant présenté TTC. Merci de revoir la ligne de dépense ou plafonner son montant.",
ROUND(IFERROR(VALUE(TRIM(SUBSTITUTE(BJ75,CHAR(160),""))),0),2)&gt;
ROUND(IFERROR(VALUE(TRIM(SUBSTITUTE(AB75,CHAR(160),""))),0),2),
"Attention : Le montant retenu HT est supérieur au montant HT présenté. Merci de revoir la ligne de dépense, plafonner son montant, ou justifier la reventillation HT / TVA.",
ROUND(IFERROR(VALUE(TRIM(SUBSTITUTE(BK75,CHAR(160),""))),0),2)&gt;
ROUND(IFERROR(VALUE(TRIM(SUBSTITUTE(AC75,CHAR(160),""))),0),2),
"Attention : Le montant TVA retenu est supérieur au montant TVA présenté. Merci de revoir la ligne de dépense, plafonner son montant, ou justifier la reventillation HT / TVA.",
ROUND(IFERROR(VALUE(TRIM(SUBSTITUTE(AD75,CHAR(160),""))),0),2)=0,
"",
ROUND(IFERROR(VALUE(TRIM(SUBSTITUTE(BL75,CHAR(160),""))),0),2)=
ROUND(IFERROR(VALUE(TRIM(SUBSTITUTE(AD75,CHAR(160),""))),0),2),
"OK",
ROUND(IFERROR(VALUE(TRIM(SUBSTITUTE(BL75,CHAR(160),""))),0),2)=0,
"Attention : Montant présenté entièrement rejeté.",
ROUND(IFERROR(VALUE(TRIM(SUBSTITUTE(BL75,CHAR(160),""))),0),2)&lt;
ROUND(IFERROR(VALUE(TRIM(SUBSTITUTE(AD75,CHAR(160),""))),0),2),
"Attention : Montant présenté partiellement rejeté.",
TRUE,""
))</f>
        <v/>
      </c>
      <c r="BP75" s="113" t="str">
        <f t="shared" si="85"/>
        <v/>
      </c>
      <c r="BQ75" s="113" t="str">
        <f t="shared" si="86"/>
        <v/>
      </c>
      <c r="BR75" s="33" t="str">
        <f t="shared" si="87"/>
        <v/>
      </c>
    </row>
    <row r="76" spans="1:70" ht="15" customHeight="1">
      <c r="A76" s="193">
        <v>68</v>
      </c>
      <c r="B76" s="7"/>
      <c r="C76" s="7"/>
      <c r="D76" s="19"/>
      <c r="E76" s="7"/>
      <c r="F76" s="7"/>
      <c r="G76" s="7"/>
      <c r="H76" s="7"/>
      <c r="I76" s="28"/>
      <c r="J76" s="7"/>
      <c r="K76" s="29"/>
      <c r="L76" s="678"/>
      <c r="M76" s="7"/>
      <c r="N76" s="672"/>
      <c r="O76" s="11"/>
      <c r="P76" s="107" t="str">
        <f t="shared" si="52"/>
        <v/>
      </c>
      <c r="Q76" s="699"/>
      <c r="R76" s="702"/>
      <c r="S76" s="684"/>
      <c r="T76" s="11"/>
      <c r="U76" s="107" t="str">
        <f t="shared" si="53"/>
        <v/>
      </c>
      <c r="V76" s="695"/>
      <c r="W76" s="685"/>
      <c r="X76" s="707"/>
      <c r="Y76" s="684"/>
      <c r="Z76" s="108" t="str">
        <f t="shared" si="54"/>
        <v/>
      </c>
      <c r="AA76" s="25"/>
      <c r="AB76" s="287" t="str" cm="1">
        <f t="array" ref="AB76">IF((_xlfn.IFS(TRIM(SUBSTITUTE(AA76,CHAR(160),""))="Devis 1",IFERROR(VALUE(TRIM(SUBSTITUTE(N76,CHAR(160),""))),0),TRIM(SUBSTITUTE(AA76,CHAR(160),""))="Devis 2",IFERROR(VALUE(TRIM(SUBSTITUTE(S76,CHAR(160),""))),0),TRIM(SUBSTITUTE(AA76,CHAR(160),""))="Devis 3",IFERROR(VALUE(TRIM(SUBSTITUTE(X76,CHAR(160),""))),0),TRUE,0)*IFERROR(VALUE(TRIM(SUBSTITUTE(D76,CHAR(160),""))),0))=0,"",_xlfn.IFS(TRIM(SUBSTITUTE(AA76,CHAR(160),""))="Devis 1",IFERROR(VALUE(TRIM(SUBSTITUTE(N76,CHAR(160),""))),0),TRIM(SUBSTITUTE(AA76,CHAR(160),""))="Devis 2",IFERROR(VALUE(TRIM(SUBSTITUTE(S76,CHAR(160),""))),0),TRIM(SUBSTITUTE(AA76,CHAR(160),""))="Devis 3",IFERROR(VALUE(TRIM(SUBSTITUTE(X76,CHAR(160),""))),0),TRUE,0)*IFERROR(VALUE(TRIM(SUBSTITUTE(D76,CHAR(160),""))),0))</f>
        <v/>
      </c>
      <c r="AC76" s="275" t="str" cm="1">
        <f t="array" ref="AC76">IF(_xlfn.IFS(TRIM(SUBSTITUTE(AA76,CHAR(160),""))="Devis 1",IFERROR(VALUE(TRIM(SUBSTITUTE(O76,CHAR(160),""))),0),TRIM(SUBSTITUTE(AA76,CHAR(160),""))="Devis 2",IFERROR(VALUE(TRIM(SUBSTITUTE(T76,CHAR(160),""))),0),TRIM(SUBSTITUTE(AA76,CHAR(160),""))="Devis 3",IFERROR(VALUE(TRIM(SUBSTITUTE(Y76,CHAR(160),""))),0),TRUE,0)*IFERROR(VALUE(TRIM(SUBSTITUTE(D76,CHAR(160),""))),0)=0,IF(AB76&lt;&gt;"",0,""),_xlfn.IFS(TRIM(SUBSTITUTE(AA76,CHAR(160),""))="Devis 1",IFERROR(VALUE(TRIM(SUBSTITUTE(O76,CHAR(160),""))),0),TRIM(SUBSTITUTE(AA76,CHAR(160),""))="Devis 2",IFERROR(VALUE(TRIM(SUBSTITUTE(T76,CHAR(160),""))),0),TRIM(SUBSTITUTE(AA76,CHAR(160),""))="Devis 3",IFERROR(VALUE(TRIM(SUBSTITUTE(Y76,CHAR(160),""))),0),TRUE,0)*IFERROR(VALUE(TRIM(SUBSTITUTE(D76,CHAR(160),""))),0))</f>
        <v/>
      </c>
      <c r="AD76" s="285" t="str">
        <f t="shared" si="88"/>
        <v/>
      </c>
      <c r="AE76" s="26"/>
      <c r="AF76" s="109" t="str">
        <f t="shared" si="55"/>
        <v/>
      </c>
      <c r="AG76" s="109" t="str">
        <f t="shared" si="56"/>
        <v/>
      </c>
      <c r="AH76" s="885" t="str">
        <f t="shared" si="57"/>
        <v/>
      </c>
      <c r="AI76" s="109" t="str">
        <f t="shared" si="58"/>
        <v/>
      </c>
      <c r="AJ76" s="109" t="str">
        <f t="shared" si="59"/>
        <v/>
      </c>
      <c r="AK76" s="109" t="str">
        <f t="shared" si="60"/>
        <v/>
      </c>
      <c r="AL76" s="109" t="str">
        <f t="shared" si="61"/>
        <v/>
      </c>
      <c r="AM76" s="109" t="str">
        <f t="shared" si="62"/>
        <v/>
      </c>
      <c r="AN76" s="109" t="str">
        <f t="shared" si="63"/>
        <v/>
      </c>
      <c r="AO76" s="109" t="str">
        <f t="shared" si="64"/>
        <v/>
      </c>
      <c r="AP76" s="754" t="str">
        <f t="shared" si="65"/>
        <v/>
      </c>
      <c r="AQ76" s="755" t="str">
        <f t="shared" si="66"/>
        <v/>
      </c>
      <c r="AR76" s="195" t="str">
        <f t="shared" si="67"/>
        <v/>
      </c>
      <c r="AS76" s="195" t="str">
        <f t="shared" si="68"/>
        <v/>
      </c>
      <c r="AT76" s="664" t="str">
        <f t="shared" si="69"/>
        <v/>
      </c>
      <c r="AU76" s="756" t="str">
        <f t="shared" si="70"/>
        <v/>
      </c>
      <c r="AV76" s="195" t="str">
        <f t="shared" si="71"/>
        <v/>
      </c>
      <c r="AW76" s="195" t="str">
        <f t="shared" si="72"/>
        <v/>
      </c>
      <c r="AX76" s="195" t="str">
        <f t="shared" si="73"/>
        <v/>
      </c>
      <c r="AY76" s="728" t="str">
        <f t="shared" si="74"/>
        <v/>
      </c>
      <c r="AZ76" s="195" t="str">
        <f t="shared" si="75"/>
        <v/>
      </c>
      <c r="BA76" s="195" t="str">
        <f t="shared" si="76"/>
        <v/>
      </c>
      <c r="BB76" s="195" t="str">
        <f t="shared" si="77"/>
        <v/>
      </c>
      <c r="BC76" s="195" t="str">
        <f t="shared" si="78"/>
        <v/>
      </c>
      <c r="BD76" s="112" t="str">
        <f t="shared" si="79"/>
        <v/>
      </c>
      <c r="BE76" s="109" t="str">
        <f t="shared" si="80"/>
        <v/>
      </c>
      <c r="BF76" s="602"/>
      <c r="BG76" s="113" t="str">
        <f t="shared" si="81"/>
        <v/>
      </c>
      <c r="BH76" s="113" t="str">
        <f t="shared" si="82"/>
        <v/>
      </c>
      <c r="BI76" s="113" t="str">
        <f t="shared" si="83"/>
        <v/>
      </c>
      <c r="BJ76" s="281" t="str" cm="1">
        <f t="array" ref="BJ76">IF($AH76="","",
_xlfn.IFS(
$BE76="Devis 1",
IF(ISBLANK(AR76),"",IFERROR(VALUE(TRIM(SUBSTITUTE(AR76,CHAR(160),""))),0)*IFERROR(VALUE(TRIM(SUBSTITUTE($AH76,CHAR(160),""))),0)),
$BE76="Devis 2",
IF(ISBLANK(AW76),"",IFERROR(VALUE(TRIM(SUBSTITUTE(AW76,CHAR(160),""))),0)*IFERROR(VALUE(TRIM(SUBSTITUTE($AH76,CHAR(160),""))),0)),
$BE76="Devis 3",
IF(ISBLANK(BB76),"",IFERROR(VALUE(TRIM(SUBSTITUTE(BB76,CHAR(160),""))),0)*IFERROR(VALUE(TRIM(SUBSTITUTE($AH76,CHAR(160),""))),0)),
TRUE,0
)
)</f>
        <v/>
      </c>
      <c r="BK76" s="281" t="str" cm="1">
        <f t="array" ref="BK76">IF($AH76="","",
_xlfn.IFS(
$BE76="Devis 1",
IF(ISBLANK(AS76),"",IFERROR(VALUE(TRIM(SUBSTITUTE(AS76,CHAR(160),""))),0)*IFERROR(VALUE(TRIM(SUBSTITUTE($AH76,CHAR(160),""))),0)),
$BE76="Devis 2",
IF(ISBLANK(AX76),"",IFERROR(VALUE(TRIM(SUBSTITUTE(AX76,CHAR(160),""))),0)*IFERROR(VALUE(TRIM(SUBSTITUTE($AH76,CHAR(160),""))),0)),
$BE76="Devis 3",
IF(ISBLANK(BC76),"",IFERROR(VALUE(TRIM(SUBSTITUTE(BC76,CHAR(160),""))),0)*IFERROR(VALUE(TRIM(SUBSTITUTE($AH76,CHAR(160),""))),0)),
TRUE,0
)
)</f>
        <v/>
      </c>
      <c r="BL76" s="281" t="str">
        <f t="shared" si="84"/>
        <v/>
      </c>
      <c r="BM76" s="602"/>
      <c r="BN76" s="23" t="str" cm="1">
        <f t="array" ref="BN76">IF(OR(BL76="",BI76="",BJ76="",BG76="",BK76="",BH76=""),"",_xlfn.IFS(
ROUND(IFERROR(VALUE(TRIM(SUBSTITUTE(BL76,CHAR(160),""))),0),2)&gt;
ROUND(IFERROR(VALUE(TRIM(SUBSTITUTE(BI76,CHAR(160),""))),0),2),
"KO : Le montant retenu TTC est supérieur au montant raisonnable TTC. Merci de revoir la ligne de dépense ou plafonner son montant.",
ROUND(IFERROR(VALUE(TRIM(SUBSTITUTE(BJ76,CHAR(160),""))),0),2)&gt;
ROUND(IFERROR(VALUE(TRIM(SUBSTITUTE(BG76,CHAR(160),""))),0),2),
"Attention : Le montant retenu HT est supérieur au montant HT raisonnable. Merci de revoir la ligne de dépense, plafonner son montant, ou justifier la reventillation HT / TVA.",
ROUND(IFERROR(VALUE(TRIM(SUBSTITUTE(BK76,CHAR(160),""))),0),2)&gt;
ROUND(IFERROR(VALUE(TRIM(SUBSTITUTE(BH76,CHAR(160),""))),0),2),
"Attention : Le montant TVA retenu est supérieur au montant TVA raisonnable. Merci de revoir la ligne de dépense, plafonner son montant, ou justifier la reventillation HT / TVA.",
ROUND(IFERROR(VALUE(TRIM(SUBSTITUTE(BL76,CHAR(160),""))),0),2)&gt;
ROUND(IFERROR(VALUE(TRIM(SUBSTITUTE(MIN(P76,U76,Z76),CHAR(160),""))),0),2),
"Attention : Le devis retenu n'est pas le moins cher. Une justification de la part du porteur est nécessaire.",
ROUND(IFERROR(VALUE(TRIM(SUBSTITUTE(BL76,CHAR(160),""))),0),2)=0,
"Attention : montant présenté entièrement écarté",
ROUND(IFERROR(VALUE(TRIM(SUBSTITUTE(BI76,CHAR(160),""))),0),2)=
ROUND(IFERROR(VALUE(TRIM(SUBSTITUTE(BL76,CHAR(160),""))),0),2),
"OK",
ROUND(IFERROR(VALUE(TRIM(SUBSTITUTE(BI76,CHAR(160),""))),0),2)&gt;
ROUND(IFERROR(VALUE(TRIM(SUBSTITUTE(BL76,CHAR(160),""))),0),2),
" OK : Montant instruit inférieur au montant raisonnable.",
TRUE,""
))</f>
        <v/>
      </c>
      <c r="BO76" s="23" t="str" cm="1">
        <f t="array" ref="BO76">IF(OR(BL76="",AD76="",BJ76="",AB76="",BK76="",AC76=""),"",_xlfn.IFS(
ROUND(IFERROR(VALUE(TRIM(SUBSTITUTE(BL76,CHAR(160),""))),0),2)&gt;
ROUND(IFERROR(VALUE(TRIM(SUBSTITUTE(AD76,CHAR(160),""))),0),2),
"KO : Le montant retenu TTC est supérieur au montant présenté TTC. Merci de revoir la ligne de dépense ou plafonner son montant.",
ROUND(IFERROR(VALUE(TRIM(SUBSTITUTE(BJ76,CHAR(160),""))),0),2)&gt;
ROUND(IFERROR(VALUE(TRIM(SUBSTITUTE(AB76,CHAR(160),""))),0),2),
"Attention : Le montant retenu HT est supérieur au montant HT présenté. Merci de revoir la ligne de dépense, plafonner son montant, ou justifier la reventillation HT / TVA.",
ROUND(IFERROR(VALUE(TRIM(SUBSTITUTE(BK76,CHAR(160),""))),0),2)&gt;
ROUND(IFERROR(VALUE(TRIM(SUBSTITUTE(AC76,CHAR(160),""))),0),2),
"Attention : Le montant TVA retenu est supérieur au montant TVA présenté. Merci de revoir la ligne de dépense, plafonner son montant, ou justifier la reventillation HT / TVA.",
ROUND(IFERROR(VALUE(TRIM(SUBSTITUTE(AD76,CHAR(160),""))),0),2)=0,
"",
ROUND(IFERROR(VALUE(TRIM(SUBSTITUTE(BL76,CHAR(160),""))),0),2)=
ROUND(IFERROR(VALUE(TRIM(SUBSTITUTE(AD76,CHAR(160),""))),0),2),
"OK",
ROUND(IFERROR(VALUE(TRIM(SUBSTITUTE(BL76,CHAR(160),""))),0),2)=0,
"Attention : Montant présenté entièrement rejeté.",
ROUND(IFERROR(VALUE(TRIM(SUBSTITUTE(BL76,CHAR(160),""))),0),2)&lt;
ROUND(IFERROR(VALUE(TRIM(SUBSTITUTE(AD76,CHAR(160),""))),0),2),
"Attention : Montant présenté partiellement rejeté.",
TRUE,""
))</f>
        <v/>
      </c>
      <c r="BP76" s="113" t="str">
        <f t="shared" si="85"/>
        <v/>
      </c>
      <c r="BQ76" s="113" t="str">
        <f t="shared" si="86"/>
        <v/>
      </c>
      <c r="BR76" s="33" t="str">
        <f t="shared" si="87"/>
        <v/>
      </c>
    </row>
    <row r="77" spans="1:70" ht="15" customHeight="1">
      <c r="A77" s="193">
        <v>69</v>
      </c>
      <c r="B77" s="7"/>
      <c r="C77" s="7"/>
      <c r="D77" s="19"/>
      <c r="E77" s="7"/>
      <c r="F77" s="7"/>
      <c r="G77" s="7"/>
      <c r="H77" s="7"/>
      <c r="I77" s="28"/>
      <c r="J77" s="7"/>
      <c r="K77" s="29"/>
      <c r="L77" s="678"/>
      <c r="M77" s="7"/>
      <c r="N77" s="672"/>
      <c r="O77" s="11"/>
      <c r="P77" s="107" t="str">
        <f t="shared" si="52"/>
        <v/>
      </c>
      <c r="Q77" s="699"/>
      <c r="R77" s="702"/>
      <c r="S77" s="684"/>
      <c r="T77" s="11"/>
      <c r="U77" s="107" t="str">
        <f t="shared" si="53"/>
        <v/>
      </c>
      <c r="V77" s="695"/>
      <c r="W77" s="685"/>
      <c r="X77" s="707"/>
      <c r="Y77" s="684"/>
      <c r="Z77" s="108" t="str">
        <f t="shared" si="54"/>
        <v/>
      </c>
      <c r="AA77" s="25"/>
      <c r="AB77" s="287" t="str" cm="1">
        <f t="array" ref="AB77">IF((_xlfn.IFS(TRIM(SUBSTITUTE(AA77,CHAR(160),""))="Devis 1",IFERROR(VALUE(TRIM(SUBSTITUTE(N77,CHAR(160),""))),0),TRIM(SUBSTITUTE(AA77,CHAR(160),""))="Devis 2",IFERROR(VALUE(TRIM(SUBSTITUTE(S77,CHAR(160),""))),0),TRIM(SUBSTITUTE(AA77,CHAR(160),""))="Devis 3",IFERROR(VALUE(TRIM(SUBSTITUTE(X77,CHAR(160),""))),0),TRUE,0)*IFERROR(VALUE(TRIM(SUBSTITUTE(D77,CHAR(160),""))),0))=0,"",_xlfn.IFS(TRIM(SUBSTITUTE(AA77,CHAR(160),""))="Devis 1",IFERROR(VALUE(TRIM(SUBSTITUTE(N77,CHAR(160),""))),0),TRIM(SUBSTITUTE(AA77,CHAR(160),""))="Devis 2",IFERROR(VALUE(TRIM(SUBSTITUTE(S77,CHAR(160),""))),0),TRIM(SUBSTITUTE(AA77,CHAR(160),""))="Devis 3",IFERROR(VALUE(TRIM(SUBSTITUTE(X77,CHAR(160),""))),0),TRUE,0)*IFERROR(VALUE(TRIM(SUBSTITUTE(D77,CHAR(160),""))),0))</f>
        <v/>
      </c>
      <c r="AC77" s="275" t="str" cm="1">
        <f t="array" ref="AC77">IF(_xlfn.IFS(TRIM(SUBSTITUTE(AA77,CHAR(160),""))="Devis 1",IFERROR(VALUE(TRIM(SUBSTITUTE(O77,CHAR(160),""))),0),TRIM(SUBSTITUTE(AA77,CHAR(160),""))="Devis 2",IFERROR(VALUE(TRIM(SUBSTITUTE(T77,CHAR(160),""))),0),TRIM(SUBSTITUTE(AA77,CHAR(160),""))="Devis 3",IFERROR(VALUE(TRIM(SUBSTITUTE(Y77,CHAR(160),""))),0),TRUE,0)*IFERROR(VALUE(TRIM(SUBSTITUTE(D77,CHAR(160),""))),0)=0,IF(AB77&lt;&gt;"",0,""),_xlfn.IFS(TRIM(SUBSTITUTE(AA77,CHAR(160),""))="Devis 1",IFERROR(VALUE(TRIM(SUBSTITUTE(O77,CHAR(160),""))),0),TRIM(SUBSTITUTE(AA77,CHAR(160),""))="Devis 2",IFERROR(VALUE(TRIM(SUBSTITUTE(T77,CHAR(160),""))),0),TRIM(SUBSTITUTE(AA77,CHAR(160),""))="Devis 3",IFERROR(VALUE(TRIM(SUBSTITUTE(Y77,CHAR(160),""))),0),TRUE,0)*IFERROR(VALUE(TRIM(SUBSTITUTE(D77,CHAR(160),""))),0))</f>
        <v/>
      </c>
      <c r="AD77" s="285" t="str">
        <f t="shared" si="88"/>
        <v/>
      </c>
      <c r="AE77" s="26"/>
      <c r="AF77" s="109" t="str">
        <f t="shared" si="55"/>
        <v/>
      </c>
      <c r="AG77" s="109" t="str">
        <f t="shared" si="56"/>
        <v/>
      </c>
      <c r="AH77" s="885" t="str">
        <f t="shared" si="57"/>
        <v/>
      </c>
      <c r="AI77" s="109" t="str">
        <f t="shared" si="58"/>
        <v/>
      </c>
      <c r="AJ77" s="109" t="str">
        <f t="shared" si="59"/>
        <v/>
      </c>
      <c r="AK77" s="109" t="str">
        <f t="shared" si="60"/>
        <v/>
      </c>
      <c r="AL77" s="109" t="str">
        <f t="shared" si="61"/>
        <v/>
      </c>
      <c r="AM77" s="109" t="str">
        <f t="shared" si="62"/>
        <v/>
      </c>
      <c r="AN77" s="109" t="str">
        <f t="shared" si="63"/>
        <v/>
      </c>
      <c r="AO77" s="109" t="str">
        <f t="shared" si="64"/>
        <v/>
      </c>
      <c r="AP77" s="754" t="str">
        <f t="shared" si="65"/>
        <v/>
      </c>
      <c r="AQ77" s="755" t="str">
        <f t="shared" si="66"/>
        <v/>
      </c>
      <c r="AR77" s="195" t="str">
        <f t="shared" si="67"/>
        <v/>
      </c>
      <c r="AS77" s="195" t="str">
        <f t="shared" si="68"/>
        <v/>
      </c>
      <c r="AT77" s="664" t="str">
        <f t="shared" si="69"/>
        <v/>
      </c>
      <c r="AU77" s="756" t="str">
        <f t="shared" si="70"/>
        <v/>
      </c>
      <c r="AV77" s="195" t="str">
        <f t="shared" si="71"/>
        <v/>
      </c>
      <c r="AW77" s="195" t="str">
        <f t="shared" si="72"/>
        <v/>
      </c>
      <c r="AX77" s="195" t="str">
        <f t="shared" si="73"/>
        <v/>
      </c>
      <c r="AY77" s="728" t="str">
        <f t="shared" si="74"/>
        <v/>
      </c>
      <c r="AZ77" s="195" t="str">
        <f t="shared" si="75"/>
        <v/>
      </c>
      <c r="BA77" s="195" t="str">
        <f t="shared" si="76"/>
        <v/>
      </c>
      <c r="BB77" s="195" t="str">
        <f t="shared" si="77"/>
        <v/>
      </c>
      <c r="BC77" s="195" t="str">
        <f t="shared" si="78"/>
        <v/>
      </c>
      <c r="BD77" s="112" t="str">
        <f t="shared" si="79"/>
        <v/>
      </c>
      <c r="BE77" s="109" t="str">
        <f t="shared" si="80"/>
        <v/>
      </c>
      <c r="BF77" s="602"/>
      <c r="BG77" s="113" t="str">
        <f t="shared" si="81"/>
        <v/>
      </c>
      <c r="BH77" s="113" t="str">
        <f t="shared" si="82"/>
        <v/>
      </c>
      <c r="BI77" s="113" t="str">
        <f t="shared" si="83"/>
        <v/>
      </c>
      <c r="BJ77" s="281" t="str" cm="1">
        <f t="array" ref="BJ77">IF($AH77="","",
_xlfn.IFS(
$BE77="Devis 1",
IF(ISBLANK(AR77),"",IFERROR(VALUE(TRIM(SUBSTITUTE(AR77,CHAR(160),""))),0)*IFERROR(VALUE(TRIM(SUBSTITUTE($AH77,CHAR(160),""))),0)),
$BE77="Devis 2",
IF(ISBLANK(AW77),"",IFERROR(VALUE(TRIM(SUBSTITUTE(AW77,CHAR(160),""))),0)*IFERROR(VALUE(TRIM(SUBSTITUTE($AH77,CHAR(160),""))),0)),
$BE77="Devis 3",
IF(ISBLANK(BB77),"",IFERROR(VALUE(TRIM(SUBSTITUTE(BB77,CHAR(160),""))),0)*IFERROR(VALUE(TRIM(SUBSTITUTE($AH77,CHAR(160),""))),0)),
TRUE,0
)
)</f>
        <v/>
      </c>
      <c r="BK77" s="281" t="str" cm="1">
        <f t="array" ref="BK77">IF($AH77="","",
_xlfn.IFS(
$BE77="Devis 1",
IF(ISBLANK(AS77),"",IFERROR(VALUE(TRIM(SUBSTITUTE(AS77,CHAR(160),""))),0)*IFERROR(VALUE(TRIM(SUBSTITUTE($AH77,CHAR(160),""))),0)),
$BE77="Devis 2",
IF(ISBLANK(AX77),"",IFERROR(VALUE(TRIM(SUBSTITUTE(AX77,CHAR(160),""))),0)*IFERROR(VALUE(TRIM(SUBSTITUTE($AH77,CHAR(160),""))),0)),
$BE77="Devis 3",
IF(ISBLANK(BC77),"",IFERROR(VALUE(TRIM(SUBSTITUTE(BC77,CHAR(160),""))),0)*IFERROR(VALUE(TRIM(SUBSTITUTE($AH77,CHAR(160),""))),0)),
TRUE,0
)
)</f>
        <v/>
      </c>
      <c r="BL77" s="281" t="str">
        <f t="shared" si="84"/>
        <v/>
      </c>
      <c r="BM77" s="602"/>
      <c r="BN77" s="23" t="str" cm="1">
        <f t="array" ref="BN77">IF(OR(BL77="",BI77="",BJ77="",BG77="",BK77="",BH77=""),"",_xlfn.IFS(
ROUND(IFERROR(VALUE(TRIM(SUBSTITUTE(BL77,CHAR(160),""))),0),2)&gt;
ROUND(IFERROR(VALUE(TRIM(SUBSTITUTE(BI77,CHAR(160),""))),0),2),
"KO : Le montant retenu TTC est supérieur au montant raisonnable TTC. Merci de revoir la ligne de dépense ou plafonner son montant.",
ROUND(IFERROR(VALUE(TRIM(SUBSTITUTE(BJ77,CHAR(160),""))),0),2)&gt;
ROUND(IFERROR(VALUE(TRIM(SUBSTITUTE(BG77,CHAR(160),""))),0),2),
"Attention : Le montant retenu HT est supérieur au montant HT raisonnable. Merci de revoir la ligne de dépense, plafonner son montant, ou justifier la reventillation HT / TVA.",
ROUND(IFERROR(VALUE(TRIM(SUBSTITUTE(BK77,CHAR(160),""))),0),2)&gt;
ROUND(IFERROR(VALUE(TRIM(SUBSTITUTE(BH77,CHAR(160),""))),0),2),
"Attention : Le montant TVA retenu est supérieur au montant TVA raisonnable. Merci de revoir la ligne de dépense, plafonner son montant, ou justifier la reventillation HT / TVA.",
ROUND(IFERROR(VALUE(TRIM(SUBSTITUTE(BL77,CHAR(160),""))),0),2)&gt;
ROUND(IFERROR(VALUE(TRIM(SUBSTITUTE(MIN(P77,U77,Z77),CHAR(160),""))),0),2),
"Attention : Le devis retenu n'est pas le moins cher. Une justification de la part du porteur est nécessaire.",
ROUND(IFERROR(VALUE(TRIM(SUBSTITUTE(BL77,CHAR(160),""))),0),2)=0,
"Attention : montant présenté entièrement écarté",
ROUND(IFERROR(VALUE(TRIM(SUBSTITUTE(BI77,CHAR(160),""))),0),2)=
ROUND(IFERROR(VALUE(TRIM(SUBSTITUTE(BL77,CHAR(160),""))),0),2),
"OK",
ROUND(IFERROR(VALUE(TRIM(SUBSTITUTE(BI77,CHAR(160),""))),0),2)&gt;
ROUND(IFERROR(VALUE(TRIM(SUBSTITUTE(BL77,CHAR(160),""))),0),2),
" OK : Montant instruit inférieur au montant raisonnable.",
TRUE,""
))</f>
        <v/>
      </c>
      <c r="BO77" s="23" t="str" cm="1">
        <f t="array" ref="BO77">IF(OR(BL77="",AD77="",BJ77="",AB77="",BK77="",AC77=""),"",_xlfn.IFS(
ROUND(IFERROR(VALUE(TRIM(SUBSTITUTE(BL77,CHAR(160),""))),0),2)&gt;
ROUND(IFERROR(VALUE(TRIM(SUBSTITUTE(AD77,CHAR(160),""))),0),2),
"KO : Le montant retenu TTC est supérieur au montant présenté TTC. Merci de revoir la ligne de dépense ou plafonner son montant.",
ROUND(IFERROR(VALUE(TRIM(SUBSTITUTE(BJ77,CHAR(160),""))),0),2)&gt;
ROUND(IFERROR(VALUE(TRIM(SUBSTITUTE(AB77,CHAR(160),""))),0),2),
"Attention : Le montant retenu HT est supérieur au montant HT présenté. Merci de revoir la ligne de dépense, plafonner son montant, ou justifier la reventillation HT / TVA.",
ROUND(IFERROR(VALUE(TRIM(SUBSTITUTE(BK77,CHAR(160),""))),0),2)&gt;
ROUND(IFERROR(VALUE(TRIM(SUBSTITUTE(AC77,CHAR(160),""))),0),2),
"Attention : Le montant TVA retenu est supérieur au montant TVA présenté. Merci de revoir la ligne de dépense, plafonner son montant, ou justifier la reventillation HT / TVA.",
ROUND(IFERROR(VALUE(TRIM(SUBSTITUTE(AD77,CHAR(160),""))),0),2)=0,
"",
ROUND(IFERROR(VALUE(TRIM(SUBSTITUTE(BL77,CHAR(160),""))),0),2)=
ROUND(IFERROR(VALUE(TRIM(SUBSTITUTE(AD77,CHAR(160),""))),0),2),
"OK",
ROUND(IFERROR(VALUE(TRIM(SUBSTITUTE(BL77,CHAR(160),""))),0),2)=0,
"Attention : Montant présenté entièrement rejeté.",
ROUND(IFERROR(VALUE(TRIM(SUBSTITUTE(BL77,CHAR(160),""))),0),2)&lt;
ROUND(IFERROR(VALUE(TRIM(SUBSTITUTE(AD77,CHAR(160),""))),0),2),
"Attention : Montant présenté partiellement rejeté.",
TRUE,""
))</f>
        <v/>
      </c>
      <c r="BP77" s="113" t="str">
        <f t="shared" si="85"/>
        <v/>
      </c>
      <c r="BQ77" s="113" t="str">
        <f t="shared" si="86"/>
        <v/>
      </c>
      <c r="BR77" s="33" t="str">
        <f t="shared" si="87"/>
        <v/>
      </c>
    </row>
    <row r="78" spans="1:70" ht="15" customHeight="1">
      <c r="A78" s="193">
        <v>70</v>
      </c>
      <c r="B78" s="7"/>
      <c r="C78" s="7"/>
      <c r="D78" s="19"/>
      <c r="E78" s="7"/>
      <c r="F78" s="7"/>
      <c r="G78" s="7"/>
      <c r="H78" s="7"/>
      <c r="I78" s="28"/>
      <c r="J78" s="7"/>
      <c r="K78" s="29"/>
      <c r="L78" s="678"/>
      <c r="M78" s="7"/>
      <c r="N78" s="672"/>
      <c r="O78" s="11"/>
      <c r="P78" s="107" t="str">
        <f t="shared" si="52"/>
        <v/>
      </c>
      <c r="Q78" s="699"/>
      <c r="R78" s="702"/>
      <c r="S78" s="684"/>
      <c r="T78" s="11"/>
      <c r="U78" s="107" t="str">
        <f t="shared" si="53"/>
        <v/>
      </c>
      <c r="V78" s="695"/>
      <c r="W78" s="685"/>
      <c r="X78" s="707"/>
      <c r="Y78" s="684"/>
      <c r="Z78" s="108" t="str">
        <f t="shared" si="54"/>
        <v/>
      </c>
      <c r="AA78" s="25"/>
      <c r="AB78" s="287" t="str" cm="1">
        <f t="array" ref="AB78">IF((_xlfn.IFS(TRIM(SUBSTITUTE(AA78,CHAR(160),""))="Devis 1",IFERROR(VALUE(TRIM(SUBSTITUTE(N78,CHAR(160),""))),0),TRIM(SUBSTITUTE(AA78,CHAR(160),""))="Devis 2",IFERROR(VALUE(TRIM(SUBSTITUTE(S78,CHAR(160),""))),0),TRIM(SUBSTITUTE(AA78,CHAR(160),""))="Devis 3",IFERROR(VALUE(TRIM(SUBSTITUTE(X78,CHAR(160),""))),0),TRUE,0)*IFERROR(VALUE(TRIM(SUBSTITUTE(D78,CHAR(160),""))),0))=0,"",_xlfn.IFS(TRIM(SUBSTITUTE(AA78,CHAR(160),""))="Devis 1",IFERROR(VALUE(TRIM(SUBSTITUTE(N78,CHAR(160),""))),0),TRIM(SUBSTITUTE(AA78,CHAR(160),""))="Devis 2",IFERROR(VALUE(TRIM(SUBSTITUTE(S78,CHAR(160),""))),0),TRIM(SUBSTITUTE(AA78,CHAR(160),""))="Devis 3",IFERROR(VALUE(TRIM(SUBSTITUTE(X78,CHAR(160),""))),0),TRUE,0)*IFERROR(VALUE(TRIM(SUBSTITUTE(D78,CHAR(160),""))),0))</f>
        <v/>
      </c>
      <c r="AC78" s="275" t="str" cm="1">
        <f t="array" ref="AC78">IF(_xlfn.IFS(TRIM(SUBSTITUTE(AA78,CHAR(160),""))="Devis 1",IFERROR(VALUE(TRIM(SUBSTITUTE(O78,CHAR(160),""))),0),TRIM(SUBSTITUTE(AA78,CHAR(160),""))="Devis 2",IFERROR(VALUE(TRIM(SUBSTITUTE(T78,CHAR(160),""))),0),TRIM(SUBSTITUTE(AA78,CHAR(160),""))="Devis 3",IFERROR(VALUE(TRIM(SUBSTITUTE(Y78,CHAR(160),""))),0),TRUE,0)*IFERROR(VALUE(TRIM(SUBSTITUTE(D78,CHAR(160),""))),0)=0,IF(AB78&lt;&gt;"",0,""),_xlfn.IFS(TRIM(SUBSTITUTE(AA78,CHAR(160),""))="Devis 1",IFERROR(VALUE(TRIM(SUBSTITUTE(O78,CHAR(160),""))),0),TRIM(SUBSTITUTE(AA78,CHAR(160),""))="Devis 2",IFERROR(VALUE(TRIM(SUBSTITUTE(T78,CHAR(160),""))),0),TRIM(SUBSTITUTE(AA78,CHAR(160),""))="Devis 3",IFERROR(VALUE(TRIM(SUBSTITUTE(Y78,CHAR(160),""))),0),TRUE,0)*IFERROR(VALUE(TRIM(SUBSTITUTE(D78,CHAR(160),""))),0))</f>
        <v/>
      </c>
      <c r="AD78" s="285" t="str">
        <f t="shared" si="88"/>
        <v/>
      </c>
      <c r="AE78" s="26"/>
      <c r="AF78" s="109" t="str">
        <f t="shared" si="55"/>
        <v/>
      </c>
      <c r="AG78" s="109" t="str">
        <f t="shared" si="56"/>
        <v/>
      </c>
      <c r="AH78" s="885" t="str">
        <f t="shared" si="57"/>
        <v/>
      </c>
      <c r="AI78" s="109" t="str">
        <f t="shared" si="58"/>
        <v/>
      </c>
      <c r="AJ78" s="109" t="str">
        <f t="shared" si="59"/>
        <v/>
      </c>
      <c r="AK78" s="109" t="str">
        <f t="shared" si="60"/>
        <v/>
      </c>
      <c r="AL78" s="109" t="str">
        <f t="shared" si="61"/>
        <v/>
      </c>
      <c r="AM78" s="109" t="str">
        <f t="shared" si="62"/>
        <v/>
      </c>
      <c r="AN78" s="109" t="str">
        <f t="shared" si="63"/>
        <v/>
      </c>
      <c r="AO78" s="109" t="str">
        <f t="shared" si="64"/>
        <v/>
      </c>
      <c r="AP78" s="754" t="str">
        <f t="shared" si="65"/>
        <v/>
      </c>
      <c r="AQ78" s="755" t="str">
        <f t="shared" si="66"/>
        <v/>
      </c>
      <c r="AR78" s="195" t="str">
        <f t="shared" si="67"/>
        <v/>
      </c>
      <c r="AS78" s="195" t="str">
        <f t="shared" si="68"/>
        <v/>
      </c>
      <c r="AT78" s="664" t="str">
        <f t="shared" si="69"/>
        <v/>
      </c>
      <c r="AU78" s="756" t="str">
        <f t="shared" si="70"/>
        <v/>
      </c>
      <c r="AV78" s="195" t="str">
        <f t="shared" si="71"/>
        <v/>
      </c>
      <c r="AW78" s="195" t="str">
        <f t="shared" si="72"/>
        <v/>
      </c>
      <c r="AX78" s="195" t="str">
        <f t="shared" si="73"/>
        <v/>
      </c>
      <c r="AY78" s="728" t="str">
        <f t="shared" si="74"/>
        <v/>
      </c>
      <c r="AZ78" s="195" t="str">
        <f t="shared" si="75"/>
        <v/>
      </c>
      <c r="BA78" s="195" t="str">
        <f t="shared" si="76"/>
        <v/>
      </c>
      <c r="BB78" s="195" t="str">
        <f t="shared" si="77"/>
        <v/>
      </c>
      <c r="BC78" s="195" t="str">
        <f t="shared" si="78"/>
        <v/>
      </c>
      <c r="BD78" s="112" t="str">
        <f t="shared" si="79"/>
        <v/>
      </c>
      <c r="BE78" s="109" t="str">
        <f t="shared" si="80"/>
        <v/>
      </c>
      <c r="BF78" s="602"/>
      <c r="BG78" s="113" t="str">
        <f t="shared" si="81"/>
        <v/>
      </c>
      <c r="BH78" s="113" t="str">
        <f t="shared" si="82"/>
        <v/>
      </c>
      <c r="BI78" s="113" t="str">
        <f t="shared" si="83"/>
        <v/>
      </c>
      <c r="BJ78" s="281" t="str" cm="1">
        <f t="array" ref="BJ78">IF($AH78="","",
_xlfn.IFS(
$BE78="Devis 1",
IF(ISBLANK(AR78),"",IFERROR(VALUE(TRIM(SUBSTITUTE(AR78,CHAR(160),""))),0)*IFERROR(VALUE(TRIM(SUBSTITUTE($AH78,CHAR(160),""))),0)),
$BE78="Devis 2",
IF(ISBLANK(AW78),"",IFERROR(VALUE(TRIM(SUBSTITUTE(AW78,CHAR(160),""))),0)*IFERROR(VALUE(TRIM(SUBSTITUTE($AH78,CHAR(160),""))),0)),
$BE78="Devis 3",
IF(ISBLANK(BB78),"",IFERROR(VALUE(TRIM(SUBSTITUTE(BB78,CHAR(160),""))),0)*IFERROR(VALUE(TRIM(SUBSTITUTE($AH78,CHAR(160),""))),0)),
TRUE,0
)
)</f>
        <v/>
      </c>
      <c r="BK78" s="281" t="str" cm="1">
        <f t="array" ref="BK78">IF($AH78="","",
_xlfn.IFS(
$BE78="Devis 1",
IF(ISBLANK(AS78),"",IFERROR(VALUE(TRIM(SUBSTITUTE(AS78,CHAR(160),""))),0)*IFERROR(VALUE(TRIM(SUBSTITUTE($AH78,CHAR(160),""))),0)),
$BE78="Devis 2",
IF(ISBLANK(AX78),"",IFERROR(VALUE(TRIM(SUBSTITUTE(AX78,CHAR(160),""))),0)*IFERROR(VALUE(TRIM(SUBSTITUTE($AH78,CHAR(160),""))),0)),
$BE78="Devis 3",
IF(ISBLANK(BC78),"",IFERROR(VALUE(TRIM(SUBSTITUTE(BC78,CHAR(160),""))),0)*IFERROR(VALUE(TRIM(SUBSTITUTE($AH78,CHAR(160),""))),0)),
TRUE,0
)
)</f>
        <v/>
      </c>
      <c r="BL78" s="281" t="str">
        <f t="shared" si="84"/>
        <v/>
      </c>
      <c r="BM78" s="602"/>
      <c r="BN78" s="23" t="str" cm="1">
        <f t="array" ref="BN78">IF(OR(BL78="",BI78="",BJ78="",BG78="",BK78="",BH78=""),"",_xlfn.IFS(
ROUND(IFERROR(VALUE(TRIM(SUBSTITUTE(BL78,CHAR(160),""))),0),2)&gt;
ROUND(IFERROR(VALUE(TRIM(SUBSTITUTE(BI78,CHAR(160),""))),0),2),
"KO : Le montant retenu TTC est supérieur au montant raisonnable TTC. Merci de revoir la ligne de dépense ou plafonner son montant.",
ROUND(IFERROR(VALUE(TRIM(SUBSTITUTE(BJ78,CHAR(160),""))),0),2)&gt;
ROUND(IFERROR(VALUE(TRIM(SUBSTITUTE(BG78,CHAR(160),""))),0),2),
"Attention : Le montant retenu HT est supérieur au montant HT raisonnable. Merci de revoir la ligne de dépense, plafonner son montant, ou justifier la reventillation HT / TVA.",
ROUND(IFERROR(VALUE(TRIM(SUBSTITUTE(BK78,CHAR(160),""))),0),2)&gt;
ROUND(IFERROR(VALUE(TRIM(SUBSTITUTE(BH78,CHAR(160),""))),0),2),
"Attention : Le montant TVA retenu est supérieur au montant TVA raisonnable. Merci de revoir la ligne de dépense, plafonner son montant, ou justifier la reventillation HT / TVA.",
ROUND(IFERROR(VALUE(TRIM(SUBSTITUTE(BL78,CHAR(160),""))),0),2)&gt;
ROUND(IFERROR(VALUE(TRIM(SUBSTITUTE(MIN(P78,U78,Z78),CHAR(160),""))),0),2),
"Attention : Le devis retenu n'est pas le moins cher. Une justification de la part du porteur est nécessaire.",
ROUND(IFERROR(VALUE(TRIM(SUBSTITUTE(BL78,CHAR(160),""))),0),2)=0,
"Attention : montant présenté entièrement écarté",
ROUND(IFERROR(VALUE(TRIM(SUBSTITUTE(BI78,CHAR(160),""))),0),2)=
ROUND(IFERROR(VALUE(TRIM(SUBSTITUTE(BL78,CHAR(160),""))),0),2),
"OK",
ROUND(IFERROR(VALUE(TRIM(SUBSTITUTE(BI78,CHAR(160),""))),0),2)&gt;
ROUND(IFERROR(VALUE(TRIM(SUBSTITUTE(BL78,CHAR(160),""))),0),2),
" OK : Montant instruit inférieur au montant raisonnable.",
TRUE,""
))</f>
        <v/>
      </c>
      <c r="BO78" s="23" t="str" cm="1">
        <f t="array" ref="BO78">IF(OR(BL78="",AD78="",BJ78="",AB78="",BK78="",AC78=""),"",_xlfn.IFS(
ROUND(IFERROR(VALUE(TRIM(SUBSTITUTE(BL78,CHAR(160),""))),0),2)&gt;
ROUND(IFERROR(VALUE(TRIM(SUBSTITUTE(AD78,CHAR(160),""))),0),2),
"KO : Le montant retenu TTC est supérieur au montant présenté TTC. Merci de revoir la ligne de dépense ou plafonner son montant.",
ROUND(IFERROR(VALUE(TRIM(SUBSTITUTE(BJ78,CHAR(160),""))),0),2)&gt;
ROUND(IFERROR(VALUE(TRIM(SUBSTITUTE(AB78,CHAR(160),""))),0),2),
"Attention : Le montant retenu HT est supérieur au montant HT présenté. Merci de revoir la ligne de dépense, plafonner son montant, ou justifier la reventillation HT / TVA.",
ROUND(IFERROR(VALUE(TRIM(SUBSTITUTE(BK78,CHAR(160),""))),0),2)&gt;
ROUND(IFERROR(VALUE(TRIM(SUBSTITUTE(AC78,CHAR(160),""))),0),2),
"Attention : Le montant TVA retenu est supérieur au montant TVA présenté. Merci de revoir la ligne de dépense, plafonner son montant, ou justifier la reventillation HT / TVA.",
ROUND(IFERROR(VALUE(TRIM(SUBSTITUTE(AD78,CHAR(160),""))),0),2)=0,
"",
ROUND(IFERROR(VALUE(TRIM(SUBSTITUTE(BL78,CHAR(160),""))),0),2)=
ROUND(IFERROR(VALUE(TRIM(SUBSTITUTE(AD78,CHAR(160),""))),0),2),
"OK",
ROUND(IFERROR(VALUE(TRIM(SUBSTITUTE(BL78,CHAR(160),""))),0),2)=0,
"Attention : Montant présenté entièrement rejeté.",
ROUND(IFERROR(VALUE(TRIM(SUBSTITUTE(BL78,CHAR(160),""))),0),2)&lt;
ROUND(IFERROR(VALUE(TRIM(SUBSTITUTE(AD78,CHAR(160),""))),0),2),
"Attention : Montant présenté partiellement rejeté.",
TRUE,""
))</f>
        <v/>
      </c>
      <c r="BP78" s="113" t="str">
        <f t="shared" si="85"/>
        <v/>
      </c>
      <c r="BQ78" s="113" t="str">
        <f t="shared" si="86"/>
        <v/>
      </c>
      <c r="BR78" s="33" t="str">
        <f t="shared" si="87"/>
        <v/>
      </c>
    </row>
    <row r="79" spans="1:70" ht="15" customHeight="1">
      <c r="A79" s="193">
        <v>71</v>
      </c>
      <c r="B79" s="7"/>
      <c r="C79" s="7"/>
      <c r="D79" s="19"/>
      <c r="E79" s="7"/>
      <c r="F79" s="7"/>
      <c r="G79" s="7"/>
      <c r="H79" s="7"/>
      <c r="I79" s="28"/>
      <c r="J79" s="7"/>
      <c r="K79" s="29"/>
      <c r="L79" s="678"/>
      <c r="M79" s="7"/>
      <c r="N79" s="672"/>
      <c r="O79" s="11"/>
      <c r="P79" s="107" t="str">
        <f t="shared" si="52"/>
        <v/>
      </c>
      <c r="Q79" s="699"/>
      <c r="R79" s="702"/>
      <c r="S79" s="684"/>
      <c r="T79" s="11"/>
      <c r="U79" s="107" t="str">
        <f t="shared" si="53"/>
        <v/>
      </c>
      <c r="V79" s="695"/>
      <c r="W79" s="685"/>
      <c r="X79" s="707"/>
      <c r="Y79" s="684"/>
      <c r="Z79" s="108" t="str">
        <f t="shared" si="54"/>
        <v/>
      </c>
      <c r="AA79" s="25"/>
      <c r="AB79" s="287" t="str" cm="1">
        <f t="array" ref="AB79">IF((_xlfn.IFS(TRIM(SUBSTITUTE(AA79,CHAR(160),""))="Devis 1",IFERROR(VALUE(TRIM(SUBSTITUTE(N79,CHAR(160),""))),0),TRIM(SUBSTITUTE(AA79,CHAR(160),""))="Devis 2",IFERROR(VALUE(TRIM(SUBSTITUTE(S79,CHAR(160),""))),0),TRIM(SUBSTITUTE(AA79,CHAR(160),""))="Devis 3",IFERROR(VALUE(TRIM(SUBSTITUTE(X79,CHAR(160),""))),0),TRUE,0)*IFERROR(VALUE(TRIM(SUBSTITUTE(D79,CHAR(160),""))),0))=0,"",_xlfn.IFS(TRIM(SUBSTITUTE(AA79,CHAR(160),""))="Devis 1",IFERROR(VALUE(TRIM(SUBSTITUTE(N79,CHAR(160),""))),0),TRIM(SUBSTITUTE(AA79,CHAR(160),""))="Devis 2",IFERROR(VALUE(TRIM(SUBSTITUTE(S79,CHAR(160),""))),0),TRIM(SUBSTITUTE(AA79,CHAR(160),""))="Devis 3",IFERROR(VALUE(TRIM(SUBSTITUTE(X79,CHAR(160),""))),0),TRUE,0)*IFERROR(VALUE(TRIM(SUBSTITUTE(D79,CHAR(160),""))),0))</f>
        <v/>
      </c>
      <c r="AC79" s="275" t="str" cm="1">
        <f t="array" ref="AC79">IF(_xlfn.IFS(TRIM(SUBSTITUTE(AA79,CHAR(160),""))="Devis 1",IFERROR(VALUE(TRIM(SUBSTITUTE(O79,CHAR(160),""))),0),TRIM(SUBSTITUTE(AA79,CHAR(160),""))="Devis 2",IFERROR(VALUE(TRIM(SUBSTITUTE(T79,CHAR(160),""))),0),TRIM(SUBSTITUTE(AA79,CHAR(160),""))="Devis 3",IFERROR(VALUE(TRIM(SUBSTITUTE(Y79,CHAR(160),""))),0),TRUE,0)*IFERROR(VALUE(TRIM(SUBSTITUTE(D79,CHAR(160),""))),0)=0,IF(AB79&lt;&gt;"",0,""),_xlfn.IFS(TRIM(SUBSTITUTE(AA79,CHAR(160),""))="Devis 1",IFERROR(VALUE(TRIM(SUBSTITUTE(O79,CHAR(160),""))),0),TRIM(SUBSTITUTE(AA79,CHAR(160),""))="Devis 2",IFERROR(VALUE(TRIM(SUBSTITUTE(T79,CHAR(160),""))),0),TRIM(SUBSTITUTE(AA79,CHAR(160),""))="Devis 3",IFERROR(VALUE(TRIM(SUBSTITUTE(Y79,CHAR(160),""))),0),TRUE,0)*IFERROR(VALUE(TRIM(SUBSTITUTE(D79,CHAR(160),""))),0))</f>
        <v/>
      </c>
      <c r="AD79" s="285" t="str">
        <f t="shared" si="88"/>
        <v/>
      </c>
      <c r="AE79" s="26"/>
      <c r="AF79" s="109" t="str">
        <f t="shared" si="55"/>
        <v/>
      </c>
      <c r="AG79" s="109" t="str">
        <f t="shared" si="56"/>
        <v/>
      </c>
      <c r="AH79" s="885" t="str">
        <f t="shared" si="57"/>
        <v/>
      </c>
      <c r="AI79" s="109" t="str">
        <f t="shared" si="58"/>
        <v/>
      </c>
      <c r="AJ79" s="109" t="str">
        <f t="shared" si="59"/>
        <v/>
      </c>
      <c r="AK79" s="109" t="str">
        <f t="shared" si="60"/>
        <v/>
      </c>
      <c r="AL79" s="109" t="str">
        <f t="shared" si="61"/>
        <v/>
      </c>
      <c r="AM79" s="109" t="str">
        <f t="shared" si="62"/>
        <v/>
      </c>
      <c r="AN79" s="109" t="str">
        <f t="shared" si="63"/>
        <v/>
      </c>
      <c r="AO79" s="109" t="str">
        <f t="shared" si="64"/>
        <v/>
      </c>
      <c r="AP79" s="754" t="str">
        <f t="shared" si="65"/>
        <v/>
      </c>
      <c r="AQ79" s="755" t="str">
        <f t="shared" si="66"/>
        <v/>
      </c>
      <c r="AR79" s="195" t="str">
        <f t="shared" si="67"/>
        <v/>
      </c>
      <c r="AS79" s="195" t="str">
        <f t="shared" si="68"/>
        <v/>
      </c>
      <c r="AT79" s="664" t="str">
        <f t="shared" si="69"/>
        <v/>
      </c>
      <c r="AU79" s="756" t="str">
        <f t="shared" si="70"/>
        <v/>
      </c>
      <c r="AV79" s="195" t="str">
        <f t="shared" si="71"/>
        <v/>
      </c>
      <c r="AW79" s="195" t="str">
        <f t="shared" si="72"/>
        <v/>
      </c>
      <c r="AX79" s="195" t="str">
        <f t="shared" si="73"/>
        <v/>
      </c>
      <c r="AY79" s="728" t="str">
        <f t="shared" si="74"/>
        <v/>
      </c>
      <c r="AZ79" s="195" t="str">
        <f t="shared" si="75"/>
        <v/>
      </c>
      <c r="BA79" s="195" t="str">
        <f t="shared" si="76"/>
        <v/>
      </c>
      <c r="BB79" s="195" t="str">
        <f t="shared" si="77"/>
        <v/>
      </c>
      <c r="BC79" s="195" t="str">
        <f t="shared" si="78"/>
        <v/>
      </c>
      <c r="BD79" s="112" t="str">
        <f t="shared" si="79"/>
        <v/>
      </c>
      <c r="BE79" s="109" t="str">
        <f t="shared" si="80"/>
        <v/>
      </c>
      <c r="BF79" s="602"/>
      <c r="BG79" s="113" t="str">
        <f t="shared" si="81"/>
        <v/>
      </c>
      <c r="BH79" s="113" t="str">
        <f t="shared" si="82"/>
        <v/>
      </c>
      <c r="BI79" s="113" t="str">
        <f t="shared" si="83"/>
        <v/>
      </c>
      <c r="BJ79" s="281" t="str" cm="1">
        <f t="array" ref="BJ79">IF($AH79="","",
_xlfn.IFS(
$BE79="Devis 1",
IF(ISBLANK(AR79),"",IFERROR(VALUE(TRIM(SUBSTITUTE(AR79,CHAR(160),""))),0)*IFERROR(VALUE(TRIM(SUBSTITUTE($AH79,CHAR(160),""))),0)),
$BE79="Devis 2",
IF(ISBLANK(AW79),"",IFERROR(VALUE(TRIM(SUBSTITUTE(AW79,CHAR(160),""))),0)*IFERROR(VALUE(TRIM(SUBSTITUTE($AH79,CHAR(160),""))),0)),
$BE79="Devis 3",
IF(ISBLANK(BB79),"",IFERROR(VALUE(TRIM(SUBSTITUTE(BB79,CHAR(160),""))),0)*IFERROR(VALUE(TRIM(SUBSTITUTE($AH79,CHAR(160),""))),0)),
TRUE,0
)
)</f>
        <v/>
      </c>
      <c r="BK79" s="281" t="str" cm="1">
        <f t="array" ref="BK79">IF($AH79="","",
_xlfn.IFS(
$BE79="Devis 1",
IF(ISBLANK(AS79),"",IFERROR(VALUE(TRIM(SUBSTITUTE(AS79,CHAR(160),""))),0)*IFERROR(VALUE(TRIM(SUBSTITUTE($AH79,CHAR(160),""))),0)),
$BE79="Devis 2",
IF(ISBLANK(AX79),"",IFERROR(VALUE(TRIM(SUBSTITUTE(AX79,CHAR(160),""))),0)*IFERROR(VALUE(TRIM(SUBSTITUTE($AH79,CHAR(160),""))),0)),
$BE79="Devis 3",
IF(ISBLANK(BC79),"",IFERROR(VALUE(TRIM(SUBSTITUTE(BC79,CHAR(160),""))),0)*IFERROR(VALUE(TRIM(SUBSTITUTE($AH79,CHAR(160),""))),0)),
TRUE,0
)
)</f>
        <v/>
      </c>
      <c r="BL79" s="281" t="str">
        <f t="shared" si="84"/>
        <v/>
      </c>
      <c r="BM79" s="602"/>
      <c r="BN79" s="23" t="str" cm="1">
        <f t="array" ref="BN79">IF(OR(BL79="",BI79="",BJ79="",BG79="",BK79="",BH79=""),"",_xlfn.IFS(
ROUND(IFERROR(VALUE(TRIM(SUBSTITUTE(BL79,CHAR(160),""))),0),2)&gt;
ROUND(IFERROR(VALUE(TRIM(SUBSTITUTE(BI79,CHAR(160),""))),0),2),
"KO : Le montant retenu TTC est supérieur au montant raisonnable TTC. Merci de revoir la ligne de dépense ou plafonner son montant.",
ROUND(IFERROR(VALUE(TRIM(SUBSTITUTE(BJ79,CHAR(160),""))),0),2)&gt;
ROUND(IFERROR(VALUE(TRIM(SUBSTITUTE(BG79,CHAR(160),""))),0),2),
"Attention : Le montant retenu HT est supérieur au montant HT raisonnable. Merci de revoir la ligne de dépense, plafonner son montant, ou justifier la reventillation HT / TVA.",
ROUND(IFERROR(VALUE(TRIM(SUBSTITUTE(BK79,CHAR(160),""))),0),2)&gt;
ROUND(IFERROR(VALUE(TRIM(SUBSTITUTE(BH79,CHAR(160),""))),0),2),
"Attention : Le montant TVA retenu est supérieur au montant TVA raisonnable. Merci de revoir la ligne de dépense, plafonner son montant, ou justifier la reventillation HT / TVA.",
ROUND(IFERROR(VALUE(TRIM(SUBSTITUTE(BL79,CHAR(160),""))),0),2)&gt;
ROUND(IFERROR(VALUE(TRIM(SUBSTITUTE(MIN(P79,U79,Z79),CHAR(160),""))),0),2),
"Attention : Le devis retenu n'est pas le moins cher. Une justification de la part du porteur est nécessaire.",
ROUND(IFERROR(VALUE(TRIM(SUBSTITUTE(BL79,CHAR(160),""))),0),2)=0,
"Attention : montant présenté entièrement écarté",
ROUND(IFERROR(VALUE(TRIM(SUBSTITUTE(BI79,CHAR(160),""))),0),2)=
ROUND(IFERROR(VALUE(TRIM(SUBSTITUTE(BL79,CHAR(160),""))),0),2),
"OK",
ROUND(IFERROR(VALUE(TRIM(SUBSTITUTE(BI79,CHAR(160),""))),0),2)&gt;
ROUND(IFERROR(VALUE(TRIM(SUBSTITUTE(BL79,CHAR(160),""))),0),2),
" OK : Montant instruit inférieur au montant raisonnable.",
TRUE,""
))</f>
        <v/>
      </c>
      <c r="BO79" s="23" t="str" cm="1">
        <f t="array" ref="BO79">IF(OR(BL79="",AD79="",BJ79="",AB79="",BK79="",AC79=""),"",_xlfn.IFS(
ROUND(IFERROR(VALUE(TRIM(SUBSTITUTE(BL79,CHAR(160),""))),0),2)&gt;
ROUND(IFERROR(VALUE(TRIM(SUBSTITUTE(AD79,CHAR(160),""))),0),2),
"KO : Le montant retenu TTC est supérieur au montant présenté TTC. Merci de revoir la ligne de dépense ou plafonner son montant.",
ROUND(IFERROR(VALUE(TRIM(SUBSTITUTE(BJ79,CHAR(160),""))),0),2)&gt;
ROUND(IFERROR(VALUE(TRIM(SUBSTITUTE(AB79,CHAR(160),""))),0),2),
"Attention : Le montant retenu HT est supérieur au montant HT présenté. Merci de revoir la ligne de dépense, plafonner son montant, ou justifier la reventillation HT / TVA.",
ROUND(IFERROR(VALUE(TRIM(SUBSTITUTE(BK79,CHAR(160),""))),0),2)&gt;
ROUND(IFERROR(VALUE(TRIM(SUBSTITUTE(AC79,CHAR(160),""))),0),2),
"Attention : Le montant TVA retenu est supérieur au montant TVA présenté. Merci de revoir la ligne de dépense, plafonner son montant, ou justifier la reventillation HT / TVA.",
ROUND(IFERROR(VALUE(TRIM(SUBSTITUTE(AD79,CHAR(160),""))),0),2)=0,
"",
ROUND(IFERROR(VALUE(TRIM(SUBSTITUTE(BL79,CHAR(160),""))),0),2)=
ROUND(IFERROR(VALUE(TRIM(SUBSTITUTE(AD79,CHAR(160),""))),0),2),
"OK",
ROUND(IFERROR(VALUE(TRIM(SUBSTITUTE(BL79,CHAR(160),""))),0),2)=0,
"Attention : Montant présenté entièrement rejeté.",
ROUND(IFERROR(VALUE(TRIM(SUBSTITUTE(BL79,CHAR(160),""))),0),2)&lt;
ROUND(IFERROR(VALUE(TRIM(SUBSTITUTE(AD79,CHAR(160),""))),0),2),
"Attention : Montant présenté partiellement rejeté.",
TRUE,""
))</f>
        <v/>
      </c>
      <c r="BP79" s="113" t="str">
        <f t="shared" si="85"/>
        <v/>
      </c>
      <c r="BQ79" s="113" t="str">
        <f t="shared" si="86"/>
        <v/>
      </c>
      <c r="BR79" s="33" t="str">
        <f t="shared" si="87"/>
        <v/>
      </c>
    </row>
    <row r="80" spans="1:70" ht="15" customHeight="1">
      <c r="A80" s="193">
        <v>72</v>
      </c>
      <c r="B80" s="7"/>
      <c r="C80" s="7"/>
      <c r="D80" s="19"/>
      <c r="E80" s="7"/>
      <c r="F80" s="7"/>
      <c r="G80" s="7"/>
      <c r="H80" s="7"/>
      <c r="I80" s="28"/>
      <c r="J80" s="7"/>
      <c r="K80" s="29"/>
      <c r="L80" s="678"/>
      <c r="M80" s="7"/>
      <c r="N80" s="672"/>
      <c r="O80" s="11"/>
      <c r="P80" s="107" t="str">
        <f t="shared" si="52"/>
        <v/>
      </c>
      <c r="Q80" s="699"/>
      <c r="R80" s="702"/>
      <c r="S80" s="684"/>
      <c r="T80" s="11"/>
      <c r="U80" s="107" t="str">
        <f t="shared" si="53"/>
        <v/>
      </c>
      <c r="V80" s="695"/>
      <c r="W80" s="685"/>
      <c r="X80" s="707"/>
      <c r="Y80" s="684"/>
      <c r="Z80" s="108" t="str">
        <f t="shared" si="54"/>
        <v/>
      </c>
      <c r="AA80" s="25"/>
      <c r="AB80" s="287" t="str" cm="1">
        <f t="array" ref="AB80">IF((_xlfn.IFS(TRIM(SUBSTITUTE(AA80,CHAR(160),""))="Devis 1",IFERROR(VALUE(TRIM(SUBSTITUTE(N80,CHAR(160),""))),0),TRIM(SUBSTITUTE(AA80,CHAR(160),""))="Devis 2",IFERROR(VALUE(TRIM(SUBSTITUTE(S80,CHAR(160),""))),0),TRIM(SUBSTITUTE(AA80,CHAR(160),""))="Devis 3",IFERROR(VALUE(TRIM(SUBSTITUTE(X80,CHAR(160),""))),0),TRUE,0)*IFERROR(VALUE(TRIM(SUBSTITUTE(D80,CHAR(160),""))),0))=0,"",_xlfn.IFS(TRIM(SUBSTITUTE(AA80,CHAR(160),""))="Devis 1",IFERROR(VALUE(TRIM(SUBSTITUTE(N80,CHAR(160),""))),0),TRIM(SUBSTITUTE(AA80,CHAR(160),""))="Devis 2",IFERROR(VALUE(TRIM(SUBSTITUTE(S80,CHAR(160),""))),0),TRIM(SUBSTITUTE(AA80,CHAR(160),""))="Devis 3",IFERROR(VALUE(TRIM(SUBSTITUTE(X80,CHAR(160),""))),0),TRUE,0)*IFERROR(VALUE(TRIM(SUBSTITUTE(D80,CHAR(160),""))),0))</f>
        <v/>
      </c>
      <c r="AC80" s="275" t="str" cm="1">
        <f t="array" ref="AC80">IF(_xlfn.IFS(TRIM(SUBSTITUTE(AA80,CHAR(160),""))="Devis 1",IFERROR(VALUE(TRIM(SUBSTITUTE(O80,CHAR(160),""))),0),TRIM(SUBSTITUTE(AA80,CHAR(160),""))="Devis 2",IFERROR(VALUE(TRIM(SUBSTITUTE(T80,CHAR(160),""))),0),TRIM(SUBSTITUTE(AA80,CHAR(160),""))="Devis 3",IFERROR(VALUE(TRIM(SUBSTITUTE(Y80,CHAR(160),""))),0),TRUE,0)*IFERROR(VALUE(TRIM(SUBSTITUTE(D80,CHAR(160),""))),0)=0,IF(AB80&lt;&gt;"",0,""),_xlfn.IFS(TRIM(SUBSTITUTE(AA80,CHAR(160),""))="Devis 1",IFERROR(VALUE(TRIM(SUBSTITUTE(O80,CHAR(160),""))),0),TRIM(SUBSTITUTE(AA80,CHAR(160),""))="Devis 2",IFERROR(VALUE(TRIM(SUBSTITUTE(T80,CHAR(160),""))),0),TRIM(SUBSTITUTE(AA80,CHAR(160),""))="Devis 3",IFERROR(VALUE(TRIM(SUBSTITUTE(Y80,CHAR(160),""))),0),TRUE,0)*IFERROR(VALUE(TRIM(SUBSTITUTE(D80,CHAR(160),""))),0))</f>
        <v/>
      </c>
      <c r="AD80" s="285" t="str">
        <f t="shared" si="88"/>
        <v/>
      </c>
      <c r="AE80" s="26"/>
      <c r="AF80" s="109" t="str">
        <f t="shared" si="55"/>
        <v/>
      </c>
      <c r="AG80" s="109" t="str">
        <f t="shared" si="56"/>
        <v/>
      </c>
      <c r="AH80" s="885" t="str">
        <f t="shared" si="57"/>
        <v/>
      </c>
      <c r="AI80" s="109" t="str">
        <f t="shared" si="58"/>
        <v/>
      </c>
      <c r="AJ80" s="109" t="str">
        <f t="shared" si="59"/>
        <v/>
      </c>
      <c r="AK80" s="109" t="str">
        <f t="shared" si="60"/>
        <v/>
      </c>
      <c r="AL80" s="109" t="str">
        <f t="shared" si="61"/>
        <v/>
      </c>
      <c r="AM80" s="109" t="str">
        <f t="shared" si="62"/>
        <v/>
      </c>
      <c r="AN80" s="109" t="str">
        <f t="shared" si="63"/>
        <v/>
      </c>
      <c r="AO80" s="109" t="str">
        <f t="shared" si="64"/>
        <v/>
      </c>
      <c r="AP80" s="754" t="str">
        <f t="shared" si="65"/>
        <v/>
      </c>
      <c r="AQ80" s="755" t="str">
        <f t="shared" si="66"/>
        <v/>
      </c>
      <c r="AR80" s="195" t="str">
        <f t="shared" si="67"/>
        <v/>
      </c>
      <c r="AS80" s="195" t="str">
        <f t="shared" si="68"/>
        <v/>
      </c>
      <c r="AT80" s="664" t="str">
        <f t="shared" si="69"/>
        <v/>
      </c>
      <c r="AU80" s="756" t="str">
        <f t="shared" si="70"/>
        <v/>
      </c>
      <c r="AV80" s="195" t="str">
        <f t="shared" si="71"/>
        <v/>
      </c>
      <c r="AW80" s="195" t="str">
        <f t="shared" si="72"/>
        <v/>
      </c>
      <c r="AX80" s="195" t="str">
        <f t="shared" si="73"/>
        <v/>
      </c>
      <c r="AY80" s="728" t="str">
        <f t="shared" si="74"/>
        <v/>
      </c>
      <c r="AZ80" s="195" t="str">
        <f t="shared" si="75"/>
        <v/>
      </c>
      <c r="BA80" s="195" t="str">
        <f t="shared" si="76"/>
        <v/>
      </c>
      <c r="BB80" s="195" t="str">
        <f t="shared" si="77"/>
        <v/>
      </c>
      <c r="BC80" s="195" t="str">
        <f t="shared" si="78"/>
        <v/>
      </c>
      <c r="BD80" s="112" t="str">
        <f t="shared" si="79"/>
        <v/>
      </c>
      <c r="BE80" s="109" t="str">
        <f t="shared" si="80"/>
        <v/>
      </c>
      <c r="BF80" s="602"/>
      <c r="BG80" s="113" t="str">
        <f t="shared" si="81"/>
        <v/>
      </c>
      <c r="BH80" s="113" t="str">
        <f t="shared" si="82"/>
        <v/>
      </c>
      <c r="BI80" s="113" t="str">
        <f t="shared" si="83"/>
        <v/>
      </c>
      <c r="BJ80" s="281" t="str" cm="1">
        <f t="array" ref="BJ80">IF($AH80="","",
_xlfn.IFS(
$BE80="Devis 1",
IF(ISBLANK(AR80),"",IFERROR(VALUE(TRIM(SUBSTITUTE(AR80,CHAR(160),""))),0)*IFERROR(VALUE(TRIM(SUBSTITUTE($AH80,CHAR(160),""))),0)),
$BE80="Devis 2",
IF(ISBLANK(AW80),"",IFERROR(VALUE(TRIM(SUBSTITUTE(AW80,CHAR(160),""))),0)*IFERROR(VALUE(TRIM(SUBSTITUTE($AH80,CHAR(160),""))),0)),
$BE80="Devis 3",
IF(ISBLANK(BB80),"",IFERROR(VALUE(TRIM(SUBSTITUTE(BB80,CHAR(160),""))),0)*IFERROR(VALUE(TRIM(SUBSTITUTE($AH80,CHAR(160),""))),0)),
TRUE,0
)
)</f>
        <v/>
      </c>
      <c r="BK80" s="281" t="str" cm="1">
        <f t="array" ref="BK80">IF($AH80="","",
_xlfn.IFS(
$BE80="Devis 1",
IF(ISBLANK(AS80),"",IFERROR(VALUE(TRIM(SUBSTITUTE(AS80,CHAR(160),""))),0)*IFERROR(VALUE(TRIM(SUBSTITUTE($AH80,CHAR(160),""))),0)),
$BE80="Devis 2",
IF(ISBLANK(AX80),"",IFERROR(VALUE(TRIM(SUBSTITUTE(AX80,CHAR(160),""))),0)*IFERROR(VALUE(TRIM(SUBSTITUTE($AH80,CHAR(160),""))),0)),
$BE80="Devis 3",
IF(ISBLANK(BC80),"",IFERROR(VALUE(TRIM(SUBSTITUTE(BC80,CHAR(160),""))),0)*IFERROR(VALUE(TRIM(SUBSTITUTE($AH80,CHAR(160),""))),0)),
TRUE,0
)
)</f>
        <v/>
      </c>
      <c r="BL80" s="281" t="str">
        <f t="shared" si="84"/>
        <v/>
      </c>
      <c r="BM80" s="602"/>
      <c r="BN80" s="23" t="str" cm="1">
        <f t="array" ref="BN80">IF(OR(BL80="",BI80="",BJ80="",BG80="",BK80="",BH80=""),"",_xlfn.IFS(
ROUND(IFERROR(VALUE(TRIM(SUBSTITUTE(BL80,CHAR(160),""))),0),2)&gt;
ROUND(IFERROR(VALUE(TRIM(SUBSTITUTE(BI80,CHAR(160),""))),0),2),
"KO : Le montant retenu TTC est supérieur au montant raisonnable TTC. Merci de revoir la ligne de dépense ou plafonner son montant.",
ROUND(IFERROR(VALUE(TRIM(SUBSTITUTE(BJ80,CHAR(160),""))),0),2)&gt;
ROUND(IFERROR(VALUE(TRIM(SUBSTITUTE(BG80,CHAR(160),""))),0),2),
"Attention : Le montant retenu HT est supérieur au montant HT raisonnable. Merci de revoir la ligne de dépense, plafonner son montant, ou justifier la reventillation HT / TVA.",
ROUND(IFERROR(VALUE(TRIM(SUBSTITUTE(BK80,CHAR(160),""))),0),2)&gt;
ROUND(IFERROR(VALUE(TRIM(SUBSTITUTE(BH80,CHAR(160),""))),0),2),
"Attention : Le montant TVA retenu est supérieur au montant TVA raisonnable. Merci de revoir la ligne de dépense, plafonner son montant, ou justifier la reventillation HT / TVA.",
ROUND(IFERROR(VALUE(TRIM(SUBSTITUTE(BL80,CHAR(160),""))),0),2)&gt;
ROUND(IFERROR(VALUE(TRIM(SUBSTITUTE(MIN(P80,U80,Z80),CHAR(160),""))),0),2),
"Attention : Le devis retenu n'est pas le moins cher. Une justification de la part du porteur est nécessaire.",
ROUND(IFERROR(VALUE(TRIM(SUBSTITUTE(BL80,CHAR(160),""))),0),2)=0,
"Attention : montant présenté entièrement écarté",
ROUND(IFERROR(VALUE(TRIM(SUBSTITUTE(BI80,CHAR(160),""))),0),2)=
ROUND(IFERROR(VALUE(TRIM(SUBSTITUTE(BL80,CHAR(160),""))),0),2),
"OK",
ROUND(IFERROR(VALUE(TRIM(SUBSTITUTE(BI80,CHAR(160),""))),0),2)&gt;
ROUND(IFERROR(VALUE(TRIM(SUBSTITUTE(BL80,CHAR(160),""))),0),2),
" OK : Montant instruit inférieur au montant raisonnable.",
TRUE,""
))</f>
        <v/>
      </c>
      <c r="BO80" s="23" t="str" cm="1">
        <f t="array" ref="BO80">IF(OR(BL80="",AD80="",BJ80="",AB80="",BK80="",AC80=""),"",_xlfn.IFS(
ROUND(IFERROR(VALUE(TRIM(SUBSTITUTE(BL80,CHAR(160),""))),0),2)&gt;
ROUND(IFERROR(VALUE(TRIM(SUBSTITUTE(AD80,CHAR(160),""))),0),2),
"KO : Le montant retenu TTC est supérieur au montant présenté TTC. Merci de revoir la ligne de dépense ou plafonner son montant.",
ROUND(IFERROR(VALUE(TRIM(SUBSTITUTE(BJ80,CHAR(160),""))),0),2)&gt;
ROUND(IFERROR(VALUE(TRIM(SUBSTITUTE(AB80,CHAR(160),""))),0),2),
"Attention : Le montant retenu HT est supérieur au montant HT présenté. Merci de revoir la ligne de dépense, plafonner son montant, ou justifier la reventillation HT / TVA.",
ROUND(IFERROR(VALUE(TRIM(SUBSTITUTE(BK80,CHAR(160),""))),0),2)&gt;
ROUND(IFERROR(VALUE(TRIM(SUBSTITUTE(AC80,CHAR(160),""))),0),2),
"Attention : Le montant TVA retenu est supérieur au montant TVA présenté. Merci de revoir la ligne de dépense, plafonner son montant, ou justifier la reventillation HT / TVA.",
ROUND(IFERROR(VALUE(TRIM(SUBSTITUTE(AD80,CHAR(160),""))),0),2)=0,
"",
ROUND(IFERROR(VALUE(TRIM(SUBSTITUTE(BL80,CHAR(160),""))),0),2)=
ROUND(IFERROR(VALUE(TRIM(SUBSTITUTE(AD80,CHAR(160),""))),0),2),
"OK",
ROUND(IFERROR(VALUE(TRIM(SUBSTITUTE(BL80,CHAR(160),""))),0),2)=0,
"Attention : Montant présenté entièrement rejeté.",
ROUND(IFERROR(VALUE(TRIM(SUBSTITUTE(BL80,CHAR(160),""))),0),2)&lt;
ROUND(IFERROR(VALUE(TRIM(SUBSTITUTE(AD80,CHAR(160),""))),0),2),
"Attention : Montant présenté partiellement rejeté.",
TRUE,""
))</f>
        <v/>
      </c>
      <c r="BP80" s="113" t="str">
        <f t="shared" si="85"/>
        <v/>
      </c>
      <c r="BQ80" s="113" t="str">
        <f t="shared" si="86"/>
        <v/>
      </c>
      <c r="BR80" s="33" t="str">
        <f t="shared" si="87"/>
        <v/>
      </c>
    </row>
    <row r="81" spans="1:70" ht="15" customHeight="1">
      <c r="A81" s="193">
        <v>73</v>
      </c>
      <c r="B81" s="7"/>
      <c r="C81" s="7"/>
      <c r="D81" s="19"/>
      <c r="E81" s="7"/>
      <c r="F81" s="7"/>
      <c r="G81" s="7"/>
      <c r="H81" s="7"/>
      <c r="I81" s="28"/>
      <c r="J81" s="7"/>
      <c r="K81" s="29"/>
      <c r="L81" s="678"/>
      <c r="M81" s="7"/>
      <c r="N81" s="672"/>
      <c r="O81" s="11"/>
      <c r="P81" s="107" t="str">
        <f t="shared" si="52"/>
        <v/>
      </c>
      <c r="Q81" s="699"/>
      <c r="R81" s="702"/>
      <c r="S81" s="684"/>
      <c r="T81" s="11"/>
      <c r="U81" s="107" t="str">
        <f t="shared" si="53"/>
        <v/>
      </c>
      <c r="V81" s="695"/>
      <c r="W81" s="685"/>
      <c r="X81" s="707"/>
      <c r="Y81" s="684"/>
      <c r="Z81" s="108" t="str">
        <f t="shared" si="54"/>
        <v/>
      </c>
      <c r="AA81" s="25"/>
      <c r="AB81" s="287" t="str" cm="1">
        <f t="array" ref="AB81">IF((_xlfn.IFS(TRIM(SUBSTITUTE(AA81,CHAR(160),""))="Devis 1",IFERROR(VALUE(TRIM(SUBSTITUTE(N81,CHAR(160),""))),0),TRIM(SUBSTITUTE(AA81,CHAR(160),""))="Devis 2",IFERROR(VALUE(TRIM(SUBSTITUTE(S81,CHAR(160),""))),0),TRIM(SUBSTITUTE(AA81,CHAR(160),""))="Devis 3",IFERROR(VALUE(TRIM(SUBSTITUTE(X81,CHAR(160),""))),0),TRUE,0)*IFERROR(VALUE(TRIM(SUBSTITUTE(D81,CHAR(160),""))),0))=0,"",_xlfn.IFS(TRIM(SUBSTITUTE(AA81,CHAR(160),""))="Devis 1",IFERROR(VALUE(TRIM(SUBSTITUTE(N81,CHAR(160),""))),0),TRIM(SUBSTITUTE(AA81,CHAR(160),""))="Devis 2",IFERROR(VALUE(TRIM(SUBSTITUTE(S81,CHAR(160),""))),0),TRIM(SUBSTITUTE(AA81,CHAR(160),""))="Devis 3",IFERROR(VALUE(TRIM(SUBSTITUTE(X81,CHAR(160),""))),0),TRUE,0)*IFERROR(VALUE(TRIM(SUBSTITUTE(D81,CHAR(160),""))),0))</f>
        <v/>
      </c>
      <c r="AC81" s="275" t="str" cm="1">
        <f t="array" ref="AC81">IF(_xlfn.IFS(TRIM(SUBSTITUTE(AA81,CHAR(160),""))="Devis 1",IFERROR(VALUE(TRIM(SUBSTITUTE(O81,CHAR(160),""))),0),TRIM(SUBSTITUTE(AA81,CHAR(160),""))="Devis 2",IFERROR(VALUE(TRIM(SUBSTITUTE(T81,CHAR(160),""))),0),TRIM(SUBSTITUTE(AA81,CHAR(160),""))="Devis 3",IFERROR(VALUE(TRIM(SUBSTITUTE(Y81,CHAR(160),""))),0),TRUE,0)*IFERROR(VALUE(TRIM(SUBSTITUTE(D81,CHAR(160),""))),0)=0,IF(AB81&lt;&gt;"",0,""),_xlfn.IFS(TRIM(SUBSTITUTE(AA81,CHAR(160),""))="Devis 1",IFERROR(VALUE(TRIM(SUBSTITUTE(O81,CHAR(160),""))),0),TRIM(SUBSTITUTE(AA81,CHAR(160),""))="Devis 2",IFERROR(VALUE(TRIM(SUBSTITUTE(T81,CHAR(160),""))),0),TRIM(SUBSTITUTE(AA81,CHAR(160),""))="Devis 3",IFERROR(VALUE(TRIM(SUBSTITUTE(Y81,CHAR(160),""))),0),TRUE,0)*IFERROR(VALUE(TRIM(SUBSTITUTE(D81,CHAR(160),""))),0))</f>
        <v/>
      </c>
      <c r="AD81" s="285" t="str">
        <f t="shared" si="88"/>
        <v/>
      </c>
      <c r="AE81" s="26"/>
      <c r="AF81" s="109" t="str">
        <f t="shared" si="55"/>
        <v/>
      </c>
      <c r="AG81" s="109" t="str">
        <f t="shared" si="56"/>
        <v/>
      </c>
      <c r="AH81" s="885" t="str">
        <f t="shared" si="57"/>
        <v/>
      </c>
      <c r="AI81" s="109" t="str">
        <f t="shared" si="58"/>
        <v/>
      </c>
      <c r="AJ81" s="109" t="str">
        <f t="shared" si="59"/>
        <v/>
      </c>
      <c r="AK81" s="109" t="str">
        <f t="shared" si="60"/>
        <v/>
      </c>
      <c r="AL81" s="109" t="str">
        <f t="shared" si="61"/>
        <v/>
      </c>
      <c r="AM81" s="109" t="str">
        <f t="shared" si="62"/>
        <v/>
      </c>
      <c r="AN81" s="109" t="str">
        <f t="shared" si="63"/>
        <v/>
      </c>
      <c r="AO81" s="109" t="str">
        <f t="shared" si="64"/>
        <v/>
      </c>
      <c r="AP81" s="754" t="str">
        <f t="shared" si="65"/>
        <v/>
      </c>
      <c r="AQ81" s="755" t="str">
        <f t="shared" si="66"/>
        <v/>
      </c>
      <c r="AR81" s="195" t="str">
        <f t="shared" si="67"/>
        <v/>
      </c>
      <c r="AS81" s="195" t="str">
        <f t="shared" si="68"/>
        <v/>
      </c>
      <c r="AT81" s="664" t="str">
        <f t="shared" si="69"/>
        <v/>
      </c>
      <c r="AU81" s="756" t="str">
        <f t="shared" si="70"/>
        <v/>
      </c>
      <c r="AV81" s="195" t="str">
        <f t="shared" si="71"/>
        <v/>
      </c>
      <c r="AW81" s="195" t="str">
        <f t="shared" si="72"/>
        <v/>
      </c>
      <c r="AX81" s="195" t="str">
        <f t="shared" si="73"/>
        <v/>
      </c>
      <c r="AY81" s="728" t="str">
        <f t="shared" si="74"/>
        <v/>
      </c>
      <c r="AZ81" s="195" t="str">
        <f t="shared" si="75"/>
        <v/>
      </c>
      <c r="BA81" s="195" t="str">
        <f t="shared" si="76"/>
        <v/>
      </c>
      <c r="BB81" s="195" t="str">
        <f t="shared" si="77"/>
        <v/>
      </c>
      <c r="BC81" s="195" t="str">
        <f t="shared" si="78"/>
        <v/>
      </c>
      <c r="BD81" s="112" t="str">
        <f t="shared" si="79"/>
        <v/>
      </c>
      <c r="BE81" s="109" t="str">
        <f t="shared" si="80"/>
        <v/>
      </c>
      <c r="BF81" s="602"/>
      <c r="BG81" s="113" t="str">
        <f t="shared" si="81"/>
        <v/>
      </c>
      <c r="BH81" s="113" t="str">
        <f t="shared" si="82"/>
        <v/>
      </c>
      <c r="BI81" s="113" t="str">
        <f t="shared" si="83"/>
        <v/>
      </c>
      <c r="BJ81" s="281" t="str" cm="1">
        <f t="array" ref="BJ81">IF($AH81="","",
_xlfn.IFS(
$BE81="Devis 1",
IF(ISBLANK(AR81),"",IFERROR(VALUE(TRIM(SUBSTITUTE(AR81,CHAR(160),""))),0)*IFERROR(VALUE(TRIM(SUBSTITUTE($AH81,CHAR(160),""))),0)),
$BE81="Devis 2",
IF(ISBLANK(AW81),"",IFERROR(VALUE(TRIM(SUBSTITUTE(AW81,CHAR(160),""))),0)*IFERROR(VALUE(TRIM(SUBSTITUTE($AH81,CHAR(160),""))),0)),
$BE81="Devis 3",
IF(ISBLANK(BB81),"",IFERROR(VALUE(TRIM(SUBSTITUTE(BB81,CHAR(160),""))),0)*IFERROR(VALUE(TRIM(SUBSTITUTE($AH81,CHAR(160),""))),0)),
TRUE,0
)
)</f>
        <v/>
      </c>
      <c r="BK81" s="281" t="str" cm="1">
        <f t="array" ref="BK81">IF($AH81="","",
_xlfn.IFS(
$BE81="Devis 1",
IF(ISBLANK(AS81),"",IFERROR(VALUE(TRIM(SUBSTITUTE(AS81,CHAR(160),""))),0)*IFERROR(VALUE(TRIM(SUBSTITUTE($AH81,CHAR(160),""))),0)),
$BE81="Devis 2",
IF(ISBLANK(AX81),"",IFERROR(VALUE(TRIM(SUBSTITUTE(AX81,CHAR(160),""))),0)*IFERROR(VALUE(TRIM(SUBSTITUTE($AH81,CHAR(160),""))),0)),
$BE81="Devis 3",
IF(ISBLANK(BC81),"",IFERROR(VALUE(TRIM(SUBSTITUTE(BC81,CHAR(160),""))),0)*IFERROR(VALUE(TRIM(SUBSTITUTE($AH81,CHAR(160),""))),0)),
TRUE,0
)
)</f>
        <v/>
      </c>
      <c r="BL81" s="281" t="str">
        <f t="shared" si="84"/>
        <v/>
      </c>
      <c r="BM81" s="602"/>
      <c r="BN81" s="23" t="str" cm="1">
        <f t="array" ref="BN81">IF(OR(BL81="",BI81="",BJ81="",BG81="",BK81="",BH81=""),"",_xlfn.IFS(
ROUND(IFERROR(VALUE(TRIM(SUBSTITUTE(BL81,CHAR(160),""))),0),2)&gt;
ROUND(IFERROR(VALUE(TRIM(SUBSTITUTE(BI81,CHAR(160),""))),0),2),
"KO : Le montant retenu TTC est supérieur au montant raisonnable TTC. Merci de revoir la ligne de dépense ou plafonner son montant.",
ROUND(IFERROR(VALUE(TRIM(SUBSTITUTE(BJ81,CHAR(160),""))),0),2)&gt;
ROUND(IFERROR(VALUE(TRIM(SUBSTITUTE(BG81,CHAR(160),""))),0),2),
"Attention : Le montant retenu HT est supérieur au montant HT raisonnable. Merci de revoir la ligne de dépense, plafonner son montant, ou justifier la reventillation HT / TVA.",
ROUND(IFERROR(VALUE(TRIM(SUBSTITUTE(BK81,CHAR(160),""))),0),2)&gt;
ROUND(IFERROR(VALUE(TRIM(SUBSTITUTE(BH81,CHAR(160),""))),0),2),
"Attention : Le montant TVA retenu est supérieur au montant TVA raisonnable. Merci de revoir la ligne de dépense, plafonner son montant, ou justifier la reventillation HT / TVA.",
ROUND(IFERROR(VALUE(TRIM(SUBSTITUTE(BL81,CHAR(160),""))),0),2)&gt;
ROUND(IFERROR(VALUE(TRIM(SUBSTITUTE(MIN(P81,U81,Z81),CHAR(160),""))),0),2),
"Attention : Le devis retenu n'est pas le moins cher. Une justification de la part du porteur est nécessaire.",
ROUND(IFERROR(VALUE(TRIM(SUBSTITUTE(BL81,CHAR(160),""))),0),2)=0,
"Attention : montant présenté entièrement écarté",
ROUND(IFERROR(VALUE(TRIM(SUBSTITUTE(BI81,CHAR(160),""))),0),2)=
ROUND(IFERROR(VALUE(TRIM(SUBSTITUTE(BL81,CHAR(160),""))),0),2),
"OK",
ROUND(IFERROR(VALUE(TRIM(SUBSTITUTE(BI81,CHAR(160),""))),0),2)&gt;
ROUND(IFERROR(VALUE(TRIM(SUBSTITUTE(BL81,CHAR(160),""))),0),2),
" OK : Montant instruit inférieur au montant raisonnable.",
TRUE,""
))</f>
        <v/>
      </c>
      <c r="BO81" s="23" t="str" cm="1">
        <f t="array" ref="BO81">IF(OR(BL81="",AD81="",BJ81="",AB81="",BK81="",AC81=""),"",_xlfn.IFS(
ROUND(IFERROR(VALUE(TRIM(SUBSTITUTE(BL81,CHAR(160),""))),0),2)&gt;
ROUND(IFERROR(VALUE(TRIM(SUBSTITUTE(AD81,CHAR(160),""))),0),2),
"KO : Le montant retenu TTC est supérieur au montant présenté TTC. Merci de revoir la ligne de dépense ou plafonner son montant.",
ROUND(IFERROR(VALUE(TRIM(SUBSTITUTE(BJ81,CHAR(160),""))),0),2)&gt;
ROUND(IFERROR(VALUE(TRIM(SUBSTITUTE(AB81,CHAR(160),""))),0),2),
"Attention : Le montant retenu HT est supérieur au montant HT présenté. Merci de revoir la ligne de dépense, plafonner son montant, ou justifier la reventillation HT / TVA.",
ROUND(IFERROR(VALUE(TRIM(SUBSTITUTE(BK81,CHAR(160),""))),0),2)&gt;
ROUND(IFERROR(VALUE(TRIM(SUBSTITUTE(AC81,CHAR(160),""))),0),2),
"Attention : Le montant TVA retenu est supérieur au montant TVA présenté. Merci de revoir la ligne de dépense, plafonner son montant, ou justifier la reventillation HT / TVA.",
ROUND(IFERROR(VALUE(TRIM(SUBSTITUTE(AD81,CHAR(160),""))),0),2)=0,
"",
ROUND(IFERROR(VALUE(TRIM(SUBSTITUTE(BL81,CHAR(160),""))),0),2)=
ROUND(IFERROR(VALUE(TRIM(SUBSTITUTE(AD81,CHAR(160),""))),0),2),
"OK",
ROUND(IFERROR(VALUE(TRIM(SUBSTITUTE(BL81,CHAR(160),""))),0),2)=0,
"Attention : Montant présenté entièrement rejeté.",
ROUND(IFERROR(VALUE(TRIM(SUBSTITUTE(BL81,CHAR(160),""))),0),2)&lt;
ROUND(IFERROR(VALUE(TRIM(SUBSTITUTE(AD81,CHAR(160),""))),0),2),
"Attention : Montant présenté partiellement rejeté.",
TRUE,""
))</f>
        <v/>
      </c>
      <c r="BP81" s="113" t="str">
        <f t="shared" si="85"/>
        <v/>
      </c>
      <c r="BQ81" s="113" t="str">
        <f t="shared" si="86"/>
        <v/>
      </c>
      <c r="BR81" s="33" t="str">
        <f t="shared" si="87"/>
        <v/>
      </c>
    </row>
    <row r="82" spans="1:70" ht="15" customHeight="1">
      <c r="A82" s="193">
        <v>74</v>
      </c>
      <c r="B82" s="7"/>
      <c r="C82" s="7"/>
      <c r="D82" s="19"/>
      <c r="E82" s="7"/>
      <c r="F82" s="7"/>
      <c r="G82" s="7"/>
      <c r="H82" s="7"/>
      <c r="I82" s="28"/>
      <c r="J82" s="7"/>
      <c r="K82" s="29"/>
      <c r="L82" s="678"/>
      <c r="M82" s="7"/>
      <c r="N82" s="672"/>
      <c r="O82" s="11"/>
      <c r="P82" s="107" t="str">
        <f t="shared" si="52"/>
        <v/>
      </c>
      <c r="Q82" s="699"/>
      <c r="R82" s="702"/>
      <c r="S82" s="684"/>
      <c r="T82" s="11"/>
      <c r="U82" s="107" t="str">
        <f t="shared" si="53"/>
        <v/>
      </c>
      <c r="V82" s="695"/>
      <c r="W82" s="685"/>
      <c r="X82" s="707"/>
      <c r="Y82" s="684"/>
      <c r="Z82" s="108" t="str">
        <f t="shared" si="54"/>
        <v/>
      </c>
      <c r="AA82" s="25"/>
      <c r="AB82" s="287" t="str" cm="1">
        <f t="array" ref="AB82">IF((_xlfn.IFS(TRIM(SUBSTITUTE(AA82,CHAR(160),""))="Devis 1",IFERROR(VALUE(TRIM(SUBSTITUTE(N82,CHAR(160),""))),0),TRIM(SUBSTITUTE(AA82,CHAR(160),""))="Devis 2",IFERROR(VALUE(TRIM(SUBSTITUTE(S82,CHAR(160),""))),0),TRIM(SUBSTITUTE(AA82,CHAR(160),""))="Devis 3",IFERROR(VALUE(TRIM(SUBSTITUTE(X82,CHAR(160),""))),0),TRUE,0)*IFERROR(VALUE(TRIM(SUBSTITUTE(D82,CHAR(160),""))),0))=0,"",_xlfn.IFS(TRIM(SUBSTITUTE(AA82,CHAR(160),""))="Devis 1",IFERROR(VALUE(TRIM(SUBSTITUTE(N82,CHAR(160),""))),0),TRIM(SUBSTITUTE(AA82,CHAR(160),""))="Devis 2",IFERROR(VALUE(TRIM(SUBSTITUTE(S82,CHAR(160),""))),0),TRIM(SUBSTITUTE(AA82,CHAR(160),""))="Devis 3",IFERROR(VALUE(TRIM(SUBSTITUTE(X82,CHAR(160),""))),0),TRUE,0)*IFERROR(VALUE(TRIM(SUBSTITUTE(D82,CHAR(160),""))),0))</f>
        <v/>
      </c>
      <c r="AC82" s="275" t="str" cm="1">
        <f t="array" ref="AC82">IF(_xlfn.IFS(TRIM(SUBSTITUTE(AA82,CHAR(160),""))="Devis 1",IFERROR(VALUE(TRIM(SUBSTITUTE(O82,CHAR(160),""))),0),TRIM(SUBSTITUTE(AA82,CHAR(160),""))="Devis 2",IFERROR(VALUE(TRIM(SUBSTITUTE(T82,CHAR(160),""))),0),TRIM(SUBSTITUTE(AA82,CHAR(160),""))="Devis 3",IFERROR(VALUE(TRIM(SUBSTITUTE(Y82,CHAR(160),""))),0),TRUE,0)*IFERROR(VALUE(TRIM(SUBSTITUTE(D82,CHAR(160),""))),0)=0,IF(AB82&lt;&gt;"",0,""),_xlfn.IFS(TRIM(SUBSTITUTE(AA82,CHAR(160),""))="Devis 1",IFERROR(VALUE(TRIM(SUBSTITUTE(O82,CHAR(160),""))),0),TRIM(SUBSTITUTE(AA82,CHAR(160),""))="Devis 2",IFERROR(VALUE(TRIM(SUBSTITUTE(T82,CHAR(160),""))),0),TRIM(SUBSTITUTE(AA82,CHAR(160),""))="Devis 3",IFERROR(VALUE(TRIM(SUBSTITUTE(Y82,CHAR(160),""))),0),TRUE,0)*IFERROR(VALUE(TRIM(SUBSTITUTE(D82,CHAR(160),""))),0))</f>
        <v/>
      </c>
      <c r="AD82" s="285" t="str">
        <f t="shared" si="88"/>
        <v/>
      </c>
      <c r="AE82" s="26"/>
      <c r="AF82" s="109" t="str">
        <f t="shared" si="55"/>
        <v/>
      </c>
      <c r="AG82" s="109" t="str">
        <f t="shared" si="56"/>
        <v/>
      </c>
      <c r="AH82" s="885" t="str">
        <f t="shared" si="57"/>
        <v/>
      </c>
      <c r="AI82" s="109" t="str">
        <f t="shared" si="58"/>
        <v/>
      </c>
      <c r="AJ82" s="109" t="str">
        <f t="shared" si="59"/>
        <v/>
      </c>
      <c r="AK82" s="109" t="str">
        <f t="shared" si="60"/>
        <v/>
      </c>
      <c r="AL82" s="109" t="str">
        <f t="shared" si="61"/>
        <v/>
      </c>
      <c r="AM82" s="109" t="str">
        <f t="shared" si="62"/>
        <v/>
      </c>
      <c r="AN82" s="109" t="str">
        <f t="shared" si="63"/>
        <v/>
      </c>
      <c r="AO82" s="109" t="str">
        <f t="shared" si="64"/>
        <v/>
      </c>
      <c r="AP82" s="754" t="str">
        <f t="shared" si="65"/>
        <v/>
      </c>
      <c r="AQ82" s="755" t="str">
        <f t="shared" si="66"/>
        <v/>
      </c>
      <c r="AR82" s="195" t="str">
        <f t="shared" si="67"/>
        <v/>
      </c>
      <c r="AS82" s="195" t="str">
        <f t="shared" si="68"/>
        <v/>
      </c>
      <c r="AT82" s="664" t="str">
        <f t="shared" si="69"/>
        <v/>
      </c>
      <c r="AU82" s="756" t="str">
        <f t="shared" si="70"/>
        <v/>
      </c>
      <c r="AV82" s="195" t="str">
        <f t="shared" si="71"/>
        <v/>
      </c>
      <c r="AW82" s="195" t="str">
        <f t="shared" si="72"/>
        <v/>
      </c>
      <c r="AX82" s="195" t="str">
        <f t="shared" si="73"/>
        <v/>
      </c>
      <c r="AY82" s="728" t="str">
        <f t="shared" si="74"/>
        <v/>
      </c>
      <c r="AZ82" s="195" t="str">
        <f t="shared" si="75"/>
        <v/>
      </c>
      <c r="BA82" s="195" t="str">
        <f t="shared" si="76"/>
        <v/>
      </c>
      <c r="BB82" s="195" t="str">
        <f t="shared" si="77"/>
        <v/>
      </c>
      <c r="BC82" s="195" t="str">
        <f t="shared" si="78"/>
        <v/>
      </c>
      <c r="BD82" s="112" t="str">
        <f t="shared" si="79"/>
        <v/>
      </c>
      <c r="BE82" s="109" t="str">
        <f t="shared" si="80"/>
        <v/>
      </c>
      <c r="BF82" s="602"/>
      <c r="BG82" s="113" t="str">
        <f t="shared" si="81"/>
        <v/>
      </c>
      <c r="BH82" s="113" t="str">
        <f t="shared" si="82"/>
        <v/>
      </c>
      <c r="BI82" s="113" t="str">
        <f t="shared" si="83"/>
        <v/>
      </c>
      <c r="BJ82" s="281" t="str" cm="1">
        <f t="array" ref="BJ82">IF($AH82="","",
_xlfn.IFS(
$BE82="Devis 1",
IF(ISBLANK(AR82),"",IFERROR(VALUE(TRIM(SUBSTITUTE(AR82,CHAR(160),""))),0)*IFERROR(VALUE(TRIM(SUBSTITUTE($AH82,CHAR(160),""))),0)),
$BE82="Devis 2",
IF(ISBLANK(AW82),"",IFERROR(VALUE(TRIM(SUBSTITUTE(AW82,CHAR(160),""))),0)*IFERROR(VALUE(TRIM(SUBSTITUTE($AH82,CHAR(160),""))),0)),
$BE82="Devis 3",
IF(ISBLANK(BB82),"",IFERROR(VALUE(TRIM(SUBSTITUTE(BB82,CHAR(160),""))),0)*IFERROR(VALUE(TRIM(SUBSTITUTE($AH82,CHAR(160),""))),0)),
TRUE,0
)
)</f>
        <v/>
      </c>
      <c r="BK82" s="281" t="str" cm="1">
        <f t="array" ref="BK82">IF($AH82="","",
_xlfn.IFS(
$BE82="Devis 1",
IF(ISBLANK(AS82),"",IFERROR(VALUE(TRIM(SUBSTITUTE(AS82,CHAR(160),""))),0)*IFERROR(VALUE(TRIM(SUBSTITUTE($AH82,CHAR(160),""))),0)),
$BE82="Devis 2",
IF(ISBLANK(AX82),"",IFERROR(VALUE(TRIM(SUBSTITUTE(AX82,CHAR(160),""))),0)*IFERROR(VALUE(TRIM(SUBSTITUTE($AH82,CHAR(160),""))),0)),
$BE82="Devis 3",
IF(ISBLANK(BC82),"",IFERROR(VALUE(TRIM(SUBSTITUTE(BC82,CHAR(160),""))),0)*IFERROR(VALUE(TRIM(SUBSTITUTE($AH82,CHAR(160),""))),0)),
TRUE,0
)
)</f>
        <v/>
      </c>
      <c r="BL82" s="281" t="str">
        <f t="shared" si="84"/>
        <v/>
      </c>
      <c r="BM82" s="602"/>
      <c r="BN82" s="23" t="str" cm="1">
        <f t="array" ref="BN82">IF(OR(BL82="",BI82="",BJ82="",BG82="",BK82="",BH82=""),"",_xlfn.IFS(
ROUND(IFERROR(VALUE(TRIM(SUBSTITUTE(BL82,CHAR(160),""))),0),2)&gt;
ROUND(IFERROR(VALUE(TRIM(SUBSTITUTE(BI82,CHAR(160),""))),0),2),
"KO : Le montant retenu TTC est supérieur au montant raisonnable TTC. Merci de revoir la ligne de dépense ou plafonner son montant.",
ROUND(IFERROR(VALUE(TRIM(SUBSTITUTE(BJ82,CHAR(160),""))),0),2)&gt;
ROUND(IFERROR(VALUE(TRIM(SUBSTITUTE(BG82,CHAR(160),""))),0),2),
"Attention : Le montant retenu HT est supérieur au montant HT raisonnable. Merci de revoir la ligne de dépense, plafonner son montant, ou justifier la reventillation HT / TVA.",
ROUND(IFERROR(VALUE(TRIM(SUBSTITUTE(BK82,CHAR(160),""))),0),2)&gt;
ROUND(IFERROR(VALUE(TRIM(SUBSTITUTE(BH82,CHAR(160),""))),0),2),
"Attention : Le montant TVA retenu est supérieur au montant TVA raisonnable. Merci de revoir la ligne de dépense, plafonner son montant, ou justifier la reventillation HT / TVA.",
ROUND(IFERROR(VALUE(TRIM(SUBSTITUTE(BL82,CHAR(160),""))),0),2)&gt;
ROUND(IFERROR(VALUE(TRIM(SUBSTITUTE(MIN(P82,U82,Z82),CHAR(160),""))),0),2),
"Attention : Le devis retenu n'est pas le moins cher. Une justification de la part du porteur est nécessaire.",
ROUND(IFERROR(VALUE(TRIM(SUBSTITUTE(BL82,CHAR(160),""))),0),2)=0,
"Attention : montant présenté entièrement écarté",
ROUND(IFERROR(VALUE(TRIM(SUBSTITUTE(BI82,CHAR(160),""))),0),2)=
ROUND(IFERROR(VALUE(TRIM(SUBSTITUTE(BL82,CHAR(160),""))),0),2),
"OK",
ROUND(IFERROR(VALUE(TRIM(SUBSTITUTE(BI82,CHAR(160),""))),0),2)&gt;
ROUND(IFERROR(VALUE(TRIM(SUBSTITUTE(BL82,CHAR(160),""))),0),2),
" OK : Montant instruit inférieur au montant raisonnable.",
TRUE,""
))</f>
        <v/>
      </c>
      <c r="BO82" s="23" t="str" cm="1">
        <f t="array" ref="BO82">IF(OR(BL82="",AD82="",BJ82="",AB82="",BK82="",AC82=""),"",_xlfn.IFS(
ROUND(IFERROR(VALUE(TRIM(SUBSTITUTE(BL82,CHAR(160),""))),0),2)&gt;
ROUND(IFERROR(VALUE(TRIM(SUBSTITUTE(AD82,CHAR(160),""))),0),2),
"KO : Le montant retenu TTC est supérieur au montant présenté TTC. Merci de revoir la ligne de dépense ou plafonner son montant.",
ROUND(IFERROR(VALUE(TRIM(SUBSTITUTE(BJ82,CHAR(160),""))),0),2)&gt;
ROUND(IFERROR(VALUE(TRIM(SUBSTITUTE(AB82,CHAR(160),""))),0),2),
"Attention : Le montant retenu HT est supérieur au montant HT présenté. Merci de revoir la ligne de dépense, plafonner son montant, ou justifier la reventillation HT / TVA.",
ROUND(IFERROR(VALUE(TRIM(SUBSTITUTE(BK82,CHAR(160),""))),0),2)&gt;
ROUND(IFERROR(VALUE(TRIM(SUBSTITUTE(AC82,CHAR(160),""))),0),2),
"Attention : Le montant TVA retenu est supérieur au montant TVA présenté. Merci de revoir la ligne de dépense, plafonner son montant, ou justifier la reventillation HT / TVA.",
ROUND(IFERROR(VALUE(TRIM(SUBSTITUTE(AD82,CHAR(160),""))),0),2)=0,
"",
ROUND(IFERROR(VALUE(TRIM(SUBSTITUTE(BL82,CHAR(160),""))),0),2)=
ROUND(IFERROR(VALUE(TRIM(SUBSTITUTE(AD82,CHAR(160),""))),0),2),
"OK",
ROUND(IFERROR(VALUE(TRIM(SUBSTITUTE(BL82,CHAR(160),""))),0),2)=0,
"Attention : Montant présenté entièrement rejeté.",
ROUND(IFERROR(VALUE(TRIM(SUBSTITUTE(BL82,CHAR(160),""))),0),2)&lt;
ROUND(IFERROR(VALUE(TRIM(SUBSTITUTE(AD82,CHAR(160),""))),0),2),
"Attention : Montant présenté partiellement rejeté.",
TRUE,""
))</f>
        <v/>
      </c>
      <c r="BP82" s="113" t="str">
        <f t="shared" si="85"/>
        <v/>
      </c>
      <c r="BQ82" s="113" t="str">
        <f t="shared" si="86"/>
        <v/>
      </c>
      <c r="BR82" s="33" t="str">
        <f t="shared" si="87"/>
        <v/>
      </c>
    </row>
    <row r="83" spans="1:70" ht="15" customHeight="1">
      <c r="A83" s="193">
        <v>75</v>
      </c>
      <c r="B83" s="7"/>
      <c r="C83" s="7"/>
      <c r="D83" s="19"/>
      <c r="E83" s="7"/>
      <c r="F83" s="7"/>
      <c r="G83" s="7"/>
      <c r="H83" s="7"/>
      <c r="I83" s="28"/>
      <c r="J83" s="7"/>
      <c r="K83" s="29"/>
      <c r="L83" s="678"/>
      <c r="M83" s="7"/>
      <c r="N83" s="672"/>
      <c r="O83" s="11"/>
      <c r="P83" s="107" t="str">
        <f t="shared" si="52"/>
        <v/>
      </c>
      <c r="Q83" s="699"/>
      <c r="R83" s="702"/>
      <c r="S83" s="684"/>
      <c r="T83" s="11"/>
      <c r="U83" s="107" t="str">
        <f t="shared" si="53"/>
        <v/>
      </c>
      <c r="V83" s="695"/>
      <c r="W83" s="685"/>
      <c r="X83" s="707"/>
      <c r="Y83" s="684"/>
      <c r="Z83" s="108" t="str">
        <f t="shared" si="54"/>
        <v/>
      </c>
      <c r="AA83" s="25"/>
      <c r="AB83" s="287" t="str" cm="1">
        <f t="array" ref="AB83">IF((_xlfn.IFS(TRIM(SUBSTITUTE(AA83,CHAR(160),""))="Devis 1",IFERROR(VALUE(TRIM(SUBSTITUTE(N83,CHAR(160),""))),0),TRIM(SUBSTITUTE(AA83,CHAR(160),""))="Devis 2",IFERROR(VALUE(TRIM(SUBSTITUTE(S83,CHAR(160),""))),0),TRIM(SUBSTITUTE(AA83,CHAR(160),""))="Devis 3",IFERROR(VALUE(TRIM(SUBSTITUTE(X83,CHAR(160),""))),0),TRUE,0)*IFERROR(VALUE(TRIM(SUBSTITUTE(D83,CHAR(160),""))),0))=0,"",_xlfn.IFS(TRIM(SUBSTITUTE(AA83,CHAR(160),""))="Devis 1",IFERROR(VALUE(TRIM(SUBSTITUTE(N83,CHAR(160),""))),0),TRIM(SUBSTITUTE(AA83,CHAR(160),""))="Devis 2",IFERROR(VALUE(TRIM(SUBSTITUTE(S83,CHAR(160),""))),0),TRIM(SUBSTITUTE(AA83,CHAR(160),""))="Devis 3",IFERROR(VALUE(TRIM(SUBSTITUTE(X83,CHAR(160),""))),0),TRUE,0)*IFERROR(VALUE(TRIM(SUBSTITUTE(D83,CHAR(160),""))),0))</f>
        <v/>
      </c>
      <c r="AC83" s="275" t="str" cm="1">
        <f t="array" ref="AC83">IF(_xlfn.IFS(TRIM(SUBSTITUTE(AA83,CHAR(160),""))="Devis 1",IFERROR(VALUE(TRIM(SUBSTITUTE(O83,CHAR(160),""))),0),TRIM(SUBSTITUTE(AA83,CHAR(160),""))="Devis 2",IFERROR(VALUE(TRIM(SUBSTITUTE(T83,CHAR(160),""))),0),TRIM(SUBSTITUTE(AA83,CHAR(160),""))="Devis 3",IFERROR(VALUE(TRIM(SUBSTITUTE(Y83,CHAR(160),""))),0),TRUE,0)*IFERROR(VALUE(TRIM(SUBSTITUTE(D83,CHAR(160),""))),0)=0,IF(AB83&lt;&gt;"",0,""),_xlfn.IFS(TRIM(SUBSTITUTE(AA83,CHAR(160),""))="Devis 1",IFERROR(VALUE(TRIM(SUBSTITUTE(O83,CHAR(160),""))),0),TRIM(SUBSTITUTE(AA83,CHAR(160),""))="Devis 2",IFERROR(VALUE(TRIM(SUBSTITUTE(T83,CHAR(160),""))),0),TRIM(SUBSTITUTE(AA83,CHAR(160),""))="Devis 3",IFERROR(VALUE(TRIM(SUBSTITUTE(Y83,CHAR(160),""))),0),TRUE,0)*IFERROR(VALUE(TRIM(SUBSTITUTE(D83,CHAR(160),""))),0))</f>
        <v/>
      </c>
      <c r="AD83" s="285" t="str">
        <f t="shared" si="88"/>
        <v/>
      </c>
      <c r="AE83" s="26"/>
      <c r="AF83" s="109" t="str">
        <f t="shared" si="55"/>
        <v/>
      </c>
      <c r="AG83" s="109" t="str">
        <f t="shared" si="56"/>
        <v/>
      </c>
      <c r="AH83" s="885" t="str">
        <f t="shared" si="57"/>
        <v/>
      </c>
      <c r="AI83" s="109" t="str">
        <f t="shared" si="58"/>
        <v/>
      </c>
      <c r="AJ83" s="109" t="str">
        <f t="shared" si="59"/>
        <v/>
      </c>
      <c r="AK83" s="109" t="str">
        <f t="shared" si="60"/>
        <v/>
      </c>
      <c r="AL83" s="109" t="str">
        <f t="shared" si="61"/>
        <v/>
      </c>
      <c r="AM83" s="109" t="str">
        <f t="shared" si="62"/>
        <v/>
      </c>
      <c r="AN83" s="109" t="str">
        <f t="shared" si="63"/>
        <v/>
      </c>
      <c r="AO83" s="109" t="str">
        <f t="shared" si="64"/>
        <v/>
      </c>
      <c r="AP83" s="754" t="str">
        <f t="shared" si="65"/>
        <v/>
      </c>
      <c r="AQ83" s="755" t="str">
        <f t="shared" si="66"/>
        <v/>
      </c>
      <c r="AR83" s="195" t="str">
        <f t="shared" si="67"/>
        <v/>
      </c>
      <c r="AS83" s="195" t="str">
        <f t="shared" si="68"/>
        <v/>
      </c>
      <c r="AT83" s="664" t="str">
        <f t="shared" si="69"/>
        <v/>
      </c>
      <c r="AU83" s="756" t="str">
        <f t="shared" si="70"/>
        <v/>
      </c>
      <c r="AV83" s="195" t="str">
        <f t="shared" si="71"/>
        <v/>
      </c>
      <c r="AW83" s="195" t="str">
        <f t="shared" si="72"/>
        <v/>
      </c>
      <c r="AX83" s="195" t="str">
        <f t="shared" si="73"/>
        <v/>
      </c>
      <c r="AY83" s="728" t="str">
        <f t="shared" si="74"/>
        <v/>
      </c>
      <c r="AZ83" s="195" t="str">
        <f t="shared" si="75"/>
        <v/>
      </c>
      <c r="BA83" s="195" t="str">
        <f t="shared" si="76"/>
        <v/>
      </c>
      <c r="BB83" s="195" t="str">
        <f t="shared" si="77"/>
        <v/>
      </c>
      <c r="BC83" s="195" t="str">
        <f t="shared" si="78"/>
        <v/>
      </c>
      <c r="BD83" s="112" t="str">
        <f t="shared" si="79"/>
        <v/>
      </c>
      <c r="BE83" s="109" t="str">
        <f t="shared" si="80"/>
        <v/>
      </c>
      <c r="BF83" s="602"/>
      <c r="BG83" s="113" t="str">
        <f t="shared" si="81"/>
        <v/>
      </c>
      <c r="BH83" s="113" t="str">
        <f t="shared" si="82"/>
        <v/>
      </c>
      <c r="BI83" s="113" t="str">
        <f t="shared" si="83"/>
        <v/>
      </c>
      <c r="BJ83" s="281" t="str" cm="1">
        <f t="array" ref="BJ83">IF($AH83="","",
_xlfn.IFS(
$BE83="Devis 1",
IF(ISBLANK(AR83),"",IFERROR(VALUE(TRIM(SUBSTITUTE(AR83,CHAR(160),""))),0)*IFERROR(VALUE(TRIM(SUBSTITUTE($AH83,CHAR(160),""))),0)),
$BE83="Devis 2",
IF(ISBLANK(AW83),"",IFERROR(VALUE(TRIM(SUBSTITUTE(AW83,CHAR(160),""))),0)*IFERROR(VALUE(TRIM(SUBSTITUTE($AH83,CHAR(160),""))),0)),
$BE83="Devis 3",
IF(ISBLANK(BB83),"",IFERROR(VALUE(TRIM(SUBSTITUTE(BB83,CHAR(160),""))),0)*IFERROR(VALUE(TRIM(SUBSTITUTE($AH83,CHAR(160),""))),0)),
TRUE,0
)
)</f>
        <v/>
      </c>
      <c r="BK83" s="281" t="str" cm="1">
        <f t="array" ref="BK83">IF($AH83="","",
_xlfn.IFS(
$BE83="Devis 1",
IF(ISBLANK(AS83),"",IFERROR(VALUE(TRIM(SUBSTITUTE(AS83,CHAR(160),""))),0)*IFERROR(VALUE(TRIM(SUBSTITUTE($AH83,CHAR(160),""))),0)),
$BE83="Devis 2",
IF(ISBLANK(AX83),"",IFERROR(VALUE(TRIM(SUBSTITUTE(AX83,CHAR(160),""))),0)*IFERROR(VALUE(TRIM(SUBSTITUTE($AH83,CHAR(160),""))),0)),
$BE83="Devis 3",
IF(ISBLANK(BC83),"",IFERROR(VALUE(TRIM(SUBSTITUTE(BC83,CHAR(160),""))),0)*IFERROR(VALUE(TRIM(SUBSTITUTE($AH83,CHAR(160),""))),0)),
TRUE,0
)
)</f>
        <v/>
      </c>
      <c r="BL83" s="281" t="str">
        <f t="shared" si="84"/>
        <v/>
      </c>
      <c r="BM83" s="602"/>
      <c r="BN83" s="23" t="str" cm="1">
        <f t="array" ref="BN83">IF(OR(BL83="",BI83="",BJ83="",BG83="",BK83="",BH83=""),"",_xlfn.IFS(
ROUND(IFERROR(VALUE(TRIM(SUBSTITUTE(BL83,CHAR(160),""))),0),2)&gt;
ROUND(IFERROR(VALUE(TRIM(SUBSTITUTE(BI83,CHAR(160),""))),0),2),
"KO : Le montant retenu TTC est supérieur au montant raisonnable TTC. Merci de revoir la ligne de dépense ou plafonner son montant.",
ROUND(IFERROR(VALUE(TRIM(SUBSTITUTE(BJ83,CHAR(160),""))),0),2)&gt;
ROUND(IFERROR(VALUE(TRIM(SUBSTITUTE(BG83,CHAR(160),""))),0),2),
"Attention : Le montant retenu HT est supérieur au montant HT raisonnable. Merci de revoir la ligne de dépense, plafonner son montant, ou justifier la reventillation HT / TVA.",
ROUND(IFERROR(VALUE(TRIM(SUBSTITUTE(BK83,CHAR(160),""))),0),2)&gt;
ROUND(IFERROR(VALUE(TRIM(SUBSTITUTE(BH83,CHAR(160),""))),0),2),
"Attention : Le montant TVA retenu est supérieur au montant TVA raisonnable. Merci de revoir la ligne de dépense, plafonner son montant, ou justifier la reventillation HT / TVA.",
ROUND(IFERROR(VALUE(TRIM(SUBSTITUTE(BL83,CHAR(160),""))),0),2)&gt;
ROUND(IFERROR(VALUE(TRIM(SUBSTITUTE(MIN(P83,U83,Z83),CHAR(160),""))),0),2),
"Attention : Le devis retenu n'est pas le moins cher. Une justification de la part du porteur est nécessaire.",
ROUND(IFERROR(VALUE(TRIM(SUBSTITUTE(BL83,CHAR(160),""))),0),2)=0,
"Attention : montant présenté entièrement écarté",
ROUND(IFERROR(VALUE(TRIM(SUBSTITUTE(BI83,CHAR(160),""))),0),2)=
ROUND(IFERROR(VALUE(TRIM(SUBSTITUTE(BL83,CHAR(160),""))),0),2),
"OK",
ROUND(IFERROR(VALUE(TRIM(SUBSTITUTE(BI83,CHAR(160),""))),0),2)&gt;
ROUND(IFERROR(VALUE(TRIM(SUBSTITUTE(BL83,CHAR(160),""))),0),2),
" OK : Montant instruit inférieur au montant raisonnable.",
TRUE,""
))</f>
        <v/>
      </c>
      <c r="BO83" s="23" t="str" cm="1">
        <f t="array" ref="BO83">IF(OR(BL83="",AD83="",BJ83="",AB83="",BK83="",AC83=""),"",_xlfn.IFS(
ROUND(IFERROR(VALUE(TRIM(SUBSTITUTE(BL83,CHAR(160),""))),0),2)&gt;
ROUND(IFERROR(VALUE(TRIM(SUBSTITUTE(AD83,CHAR(160),""))),0),2),
"KO : Le montant retenu TTC est supérieur au montant présenté TTC. Merci de revoir la ligne de dépense ou plafonner son montant.",
ROUND(IFERROR(VALUE(TRIM(SUBSTITUTE(BJ83,CHAR(160),""))),0),2)&gt;
ROUND(IFERROR(VALUE(TRIM(SUBSTITUTE(AB83,CHAR(160),""))),0),2),
"Attention : Le montant retenu HT est supérieur au montant HT présenté. Merci de revoir la ligne de dépense, plafonner son montant, ou justifier la reventillation HT / TVA.",
ROUND(IFERROR(VALUE(TRIM(SUBSTITUTE(BK83,CHAR(160),""))),0),2)&gt;
ROUND(IFERROR(VALUE(TRIM(SUBSTITUTE(AC83,CHAR(160),""))),0),2),
"Attention : Le montant TVA retenu est supérieur au montant TVA présenté. Merci de revoir la ligne de dépense, plafonner son montant, ou justifier la reventillation HT / TVA.",
ROUND(IFERROR(VALUE(TRIM(SUBSTITUTE(AD83,CHAR(160),""))),0),2)=0,
"",
ROUND(IFERROR(VALUE(TRIM(SUBSTITUTE(BL83,CHAR(160),""))),0),2)=
ROUND(IFERROR(VALUE(TRIM(SUBSTITUTE(AD83,CHAR(160),""))),0),2),
"OK",
ROUND(IFERROR(VALUE(TRIM(SUBSTITUTE(BL83,CHAR(160),""))),0),2)=0,
"Attention : Montant présenté entièrement rejeté.",
ROUND(IFERROR(VALUE(TRIM(SUBSTITUTE(BL83,CHAR(160),""))),0),2)&lt;
ROUND(IFERROR(VALUE(TRIM(SUBSTITUTE(AD83,CHAR(160),""))),0),2),
"Attention : Montant présenté partiellement rejeté.",
TRUE,""
))</f>
        <v/>
      </c>
      <c r="BP83" s="113" t="str">
        <f t="shared" si="85"/>
        <v/>
      </c>
      <c r="BQ83" s="113" t="str">
        <f t="shared" si="86"/>
        <v/>
      </c>
      <c r="BR83" s="33" t="str">
        <f t="shared" si="87"/>
        <v/>
      </c>
    </row>
    <row r="84" spans="1:70" ht="15" customHeight="1">
      <c r="A84" s="193">
        <v>76</v>
      </c>
      <c r="B84" s="7"/>
      <c r="C84" s="7"/>
      <c r="D84" s="19"/>
      <c r="E84" s="7"/>
      <c r="F84" s="7"/>
      <c r="G84" s="7"/>
      <c r="H84" s="7"/>
      <c r="I84" s="28"/>
      <c r="J84" s="7"/>
      <c r="K84" s="29"/>
      <c r="L84" s="678"/>
      <c r="M84" s="7"/>
      <c r="N84" s="672"/>
      <c r="O84" s="11"/>
      <c r="P84" s="107" t="str">
        <f t="shared" si="52"/>
        <v/>
      </c>
      <c r="Q84" s="699"/>
      <c r="R84" s="702"/>
      <c r="S84" s="684"/>
      <c r="T84" s="11"/>
      <c r="U84" s="107" t="str">
        <f t="shared" si="53"/>
        <v/>
      </c>
      <c r="V84" s="695"/>
      <c r="W84" s="685"/>
      <c r="X84" s="707"/>
      <c r="Y84" s="684"/>
      <c r="Z84" s="108" t="str">
        <f t="shared" si="54"/>
        <v/>
      </c>
      <c r="AA84" s="25"/>
      <c r="AB84" s="287" t="str" cm="1">
        <f t="array" ref="AB84">IF((_xlfn.IFS(TRIM(SUBSTITUTE(AA84,CHAR(160),""))="Devis 1",IFERROR(VALUE(TRIM(SUBSTITUTE(N84,CHAR(160),""))),0),TRIM(SUBSTITUTE(AA84,CHAR(160),""))="Devis 2",IFERROR(VALUE(TRIM(SUBSTITUTE(S84,CHAR(160),""))),0),TRIM(SUBSTITUTE(AA84,CHAR(160),""))="Devis 3",IFERROR(VALUE(TRIM(SUBSTITUTE(X84,CHAR(160),""))),0),TRUE,0)*IFERROR(VALUE(TRIM(SUBSTITUTE(D84,CHAR(160),""))),0))=0,"",_xlfn.IFS(TRIM(SUBSTITUTE(AA84,CHAR(160),""))="Devis 1",IFERROR(VALUE(TRIM(SUBSTITUTE(N84,CHAR(160),""))),0),TRIM(SUBSTITUTE(AA84,CHAR(160),""))="Devis 2",IFERROR(VALUE(TRIM(SUBSTITUTE(S84,CHAR(160),""))),0),TRIM(SUBSTITUTE(AA84,CHAR(160),""))="Devis 3",IFERROR(VALUE(TRIM(SUBSTITUTE(X84,CHAR(160),""))),0),TRUE,0)*IFERROR(VALUE(TRIM(SUBSTITUTE(D84,CHAR(160),""))),0))</f>
        <v/>
      </c>
      <c r="AC84" s="275" t="str" cm="1">
        <f t="array" ref="AC84">IF(_xlfn.IFS(TRIM(SUBSTITUTE(AA84,CHAR(160),""))="Devis 1",IFERROR(VALUE(TRIM(SUBSTITUTE(O84,CHAR(160),""))),0),TRIM(SUBSTITUTE(AA84,CHAR(160),""))="Devis 2",IFERROR(VALUE(TRIM(SUBSTITUTE(T84,CHAR(160),""))),0),TRIM(SUBSTITUTE(AA84,CHAR(160),""))="Devis 3",IFERROR(VALUE(TRIM(SUBSTITUTE(Y84,CHAR(160),""))),0),TRUE,0)*IFERROR(VALUE(TRIM(SUBSTITUTE(D84,CHAR(160),""))),0)=0,IF(AB84&lt;&gt;"",0,""),_xlfn.IFS(TRIM(SUBSTITUTE(AA84,CHAR(160),""))="Devis 1",IFERROR(VALUE(TRIM(SUBSTITUTE(O84,CHAR(160),""))),0),TRIM(SUBSTITUTE(AA84,CHAR(160),""))="Devis 2",IFERROR(VALUE(TRIM(SUBSTITUTE(T84,CHAR(160),""))),0),TRIM(SUBSTITUTE(AA84,CHAR(160),""))="Devis 3",IFERROR(VALUE(TRIM(SUBSTITUTE(Y84,CHAR(160),""))),0),TRUE,0)*IFERROR(VALUE(TRIM(SUBSTITUTE(D84,CHAR(160),""))),0))</f>
        <v/>
      </c>
      <c r="AD84" s="285" t="str">
        <f t="shared" si="88"/>
        <v/>
      </c>
      <c r="AE84" s="26"/>
      <c r="AF84" s="109" t="str">
        <f t="shared" si="55"/>
        <v/>
      </c>
      <c r="AG84" s="109" t="str">
        <f t="shared" si="56"/>
        <v/>
      </c>
      <c r="AH84" s="885" t="str">
        <f t="shared" si="57"/>
        <v/>
      </c>
      <c r="AI84" s="109" t="str">
        <f t="shared" si="58"/>
        <v/>
      </c>
      <c r="AJ84" s="109" t="str">
        <f t="shared" si="59"/>
        <v/>
      </c>
      <c r="AK84" s="109" t="str">
        <f t="shared" si="60"/>
        <v/>
      </c>
      <c r="AL84" s="109" t="str">
        <f t="shared" si="61"/>
        <v/>
      </c>
      <c r="AM84" s="109" t="str">
        <f t="shared" si="62"/>
        <v/>
      </c>
      <c r="AN84" s="109" t="str">
        <f t="shared" si="63"/>
        <v/>
      </c>
      <c r="AO84" s="109" t="str">
        <f t="shared" si="64"/>
        <v/>
      </c>
      <c r="AP84" s="754" t="str">
        <f t="shared" si="65"/>
        <v/>
      </c>
      <c r="AQ84" s="755" t="str">
        <f t="shared" si="66"/>
        <v/>
      </c>
      <c r="AR84" s="195" t="str">
        <f t="shared" si="67"/>
        <v/>
      </c>
      <c r="AS84" s="195" t="str">
        <f t="shared" si="68"/>
        <v/>
      </c>
      <c r="AT84" s="664" t="str">
        <f t="shared" si="69"/>
        <v/>
      </c>
      <c r="AU84" s="756" t="str">
        <f t="shared" si="70"/>
        <v/>
      </c>
      <c r="AV84" s="195" t="str">
        <f t="shared" si="71"/>
        <v/>
      </c>
      <c r="AW84" s="195" t="str">
        <f t="shared" si="72"/>
        <v/>
      </c>
      <c r="AX84" s="195" t="str">
        <f t="shared" si="73"/>
        <v/>
      </c>
      <c r="AY84" s="728" t="str">
        <f t="shared" si="74"/>
        <v/>
      </c>
      <c r="AZ84" s="195" t="str">
        <f t="shared" si="75"/>
        <v/>
      </c>
      <c r="BA84" s="195" t="str">
        <f t="shared" si="76"/>
        <v/>
      </c>
      <c r="BB84" s="195" t="str">
        <f t="shared" si="77"/>
        <v/>
      </c>
      <c r="BC84" s="195" t="str">
        <f t="shared" si="78"/>
        <v/>
      </c>
      <c r="BD84" s="112" t="str">
        <f t="shared" si="79"/>
        <v/>
      </c>
      <c r="BE84" s="109" t="str">
        <f t="shared" si="80"/>
        <v/>
      </c>
      <c r="BF84" s="602"/>
      <c r="BG84" s="113" t="str">
        <f t="shared" si="81"/>
        <v/>
      </c>
      <c r="BH84" s="113" t="str">
        <f t="shared" si="82"/>
        <v/>
      </c>
      <c r="BI84" s="113" t="str">
        <f t="shared" si="83"/>
        <v/>
      </c>
      <c r="BJ84" s="281" t="str" cm="1">
        <f t="array" ref="BJ84">IF($AH84="","",
_xlfn.IFS(
$BE84="Devis 1",
IF(ISBLANK(AR84),"",IFERROR(VALUE(TRIM(SUBSTITUTE(AR84,CHAR(160),""))),0)*IFERROR(VALUE(TRIM(SUBSTITUTE($AH84,CHAR(160),""))),0)),
$BE84="Devis 2",
IF(ISBLANK(AW84),"",IFERROR(VALUE(TRIM(SUBSTITUTE(AW84,CHAR(160),""))),0)*IFERROR(VALUE(TRIM(SUBSTITUTE($AH84,CHAR(160),""))),0)),
$BE84="Devis 3",
IF(ISBLANK(BB84),"",IFERROR(VALUE(TRIM(SUBSTITUTE(BB84,CHAR(160),""))),0)*IFERROR(VALUE(TRIM(SUBSTITUTE($AH84,CHAR(160),""))),0)),
TRUE,0
)
)</f>
        <v/>
      </c>
      <c r="BK84" s="281" t="str" cm="1">
        <f t="array" ref="BK84">IF($AH84="","",
_xlfn.IFS(
$BE84="Devis 1",
IF(ISBLANK(AS84),"",IFERROR(VALUE(TRIM(SUBSTITUTE(AS84,CHAR(160),""))),0)*IFERROR(VALUE(TRIM(SUBSTITUTE($AH84,CHAR(160),""))),0)),
$BE84="Devis 2",
IF(ISBLANK(AX84),"",IFERROR(VALUE(TRIM(SUBSTITUTE(AX84,CHAR(160),""))),0)*IFERROR(VALUE(TRIM(SUBSTITUTE($AH84,CHAR(160),""))),0)),
$BE84="Devis 3",
IF(ISBLANK(BC84),"",IFERROR(VALUE(TRIM(SUBSTITUTE(BC84,CHAR(160),""))),0)*IFERROR(VALUE(TRIM(SUBSTITUTE($AH84,CHAR(160),""))),0)),
TRUE,0
)
)</f>
        <v/>
      </c>
      <c r="BL84" s="281" t="str">
        <f t="shared" si="84"/>
        <v/>
      </c>
      <c r="BM84" s="602"/>
      <c r="BN84" s="23" t="str" cm="1">
        <f t="array" ref="BN84">IF(OR(BL84="",BI84="",BJ84="",BG84="",BK84="",BH84=""),"",_xlfn.IFS(
ROUND(IFERROR(VALUE(TRIM(SUBSTITUTE(BL84,CHAR(160),""))),0),2)&gt;
ROUND(IFERROR(VALUE(TRIM(SUBSTITUTE(BI84,CHAR(160),""))),0),2),
"KO : Le montant retenu TTC est supérieur au montant raisonnable TTC. Merci de revoir la ligne de dépense ou plafonner son montant.",
ROUND(IFERROR(VALUE(TRIM(SUBSTITUTE(BJ84,CHAR(160),""))),0),2)&gt;
ROUND(IFERROR(VALUE(TRIM(SUBSTITUTE(BG84,CHAR(160),""))),0),2),
"Attention : Le montant retenu HT est supérieur au montant HT raisonnable. Merci de revoir la ligne de dépense, plafonner son montant, ou justifier la reventillation HT / TVA.",
ROUND(IFERROR(VALUE(TRIM(SUBSTITUTE(BK84,CHAR(160),""))),0),2)&gt;
ROUND(IFERROR(VALUE(TRIM(SUBSTITUTE(BH84,CHAR(160),""))),0),2),
"Attention : Le montant TVA retenu est supérieur au montant TVA raisonnable. Merci de revoir la ligne de dépense, plafonner son montant, ou justifier la reventillation HT / TVA.",
ROUND(IFERROR(VALUE(TRIM(SUBSTITUTE(BL84,CHAR(160),""))),0),2)&gt;
ROUND(IFERROR(VALUE(TRIM(SUBSTITUTE(MIN(P84,U84,Z84),CHAR(160),""))),0),2),
"Attention : Le devis retenu n'est pas le moins cher. Une justification de la part du porteur est nécessaire.",
ROUND(IFERROR(VALUE(TRIM(SUBSTITUTE(BL84,CHAR(160),""))),0),2)=0,
"Attention : montant présenté entièrement écarté",
ROUND(IFERROR(VALUE(TRIM(SUBSTITUTE(BI84,CHAR(160),""))),0),2)=
ROUND(IFERROR(VALUE(TRIM(SUBSTITUTE(BL84,CHAR(160),""))),0),2),
"OK",
ROUND(IFERROR(VALUE(TRIM(SUBSTITUTE(BI84,CHAR(160),""))),0),2)&gt;
ROUND(IFERROR(VALUE(TRIM(SUBSTITUTE(BL84,CHAR(160),""))),0),2),
" OK : Montant instruit inférieur au montant raisonnable.",
TRUE,""
))</f>
        <v/>
      </c>
      <c r="BO84" s="23" t="str" cm="1">
        <f t="array" ref="BO84">IF(OR(BL84="",AD84="",BJ84="",AB84="",BK84="",AC84=""),"",_xlfn.IFS(
ROUND(IFERROR(VALUE(TRIM(SUBSTITUTE(BL84,CHAR(160),""))),0),2)&gt;
ROUND(IFERROR(VALUE(TRIM(SUBSTITUTE(AD84,CHAR(160),""))),0),2),
"KO : Le montant retenu TTC est supérieur au montant présenté TTC. Merci de revoir la ligne de dépense ou plafonner son montant.",
ROUND(IFERROR(VALUE(TRIM(SUBSTITUTE(BJ84,CHAR(160),""))),0),2)&gt;
ROUND(IFERROR(VALUE(TRIM(SUBSTITUTE(AB84,CHAR(160),""))),0),2),
"Attention : Le montant retenu HT est supérieur au montant HT présenté. Merci de revoir la ligne de dépense, plafonner son montant, ou justifier la reventillation HT / TVA.",
ROUND(IFERROR(VALUE(TRIM(SUBSTITUTE(BK84,CHAR(160),""))),0),2)&gt;
ROUND(IFERROR(VALUE(TRIM(SUBSTITUTE(AC84,CHAR(160),""))),0),2),
"Attention : Le montant TVA retenu est supérieur au montant TVA présenté. Merci de revoir la ligne de dépense, plafonner son montant, ou justifier la reventillation HT / TVA.",
ROUND(IFERROR(VALUE(TRIM(SUBSTITUTE(AD84,CHAR(160),""))),0),2)=0,
"",
ROUND(IFERROR(VALUE(TRIM(SUBSTITUTE(BL84,CHAR(160),""))),0),2)=
ROUND(IFERROR(VALUE(TRIM(SUBSTITUTE(AD84,CHAR(160),""))),0),2),
"OK",
ROUND(IFERROR(VALUE(TRIM(SUBSTITUTE(BL84,CHAR(160),""))),0),2)=0,
"Attention : Montant présenté entièrement rejeté.",
ROUND(IFERROR(VALUE(TRIM(SUBSTITUTE(BL84,CHAR(160),""))),0),2)&lt;
ROUND(IFERROR(VALUE(TRIM(SUBSTITUTE(AD84,CHAR(160),""))),0),2),
"Attention : Montant présenté partiellement rejeté.",
TRUE,""
))</f>
        <v/>
      </c>
      <c r="BP84" s="113" t="str">
        <f t="shared" si="85"/>
        <v/>
      </c>
      <c r="BQ84" s="113" t="str">
        <f t="shared" si="86"/>
        <v/>
      </c>
      <c r="BR84" s="33" t="str">
        <f t="shared" si="87"/>
        <v/>
      </c>
    </row>
    <row r="85" spans="1:70" ht="15" customHeight="1">
      <c r="A85" s="193">
        <v>77</v>
      </c>
      <c r="B85" s="7"/>
      <c r="C85" s="7"/>
      <c r="D85" s="19"/>
      <c r="E85" s="7"/>
      <c r="F85" s="7"/>
      <c r="G85" s="7"/>
      <c r="H85" s="7"/>
      <c r="I85" s="28"/>
      <c r="J85" s="7"/>
      <c r="K85" s="29"/>
      <c r="L85" s="678"/>
      <c r="M85" s="7"/>
      <c r="N85" s="672"/>
      <c r="O85" s="11"/>
      <c r="P85" s="107" t="str">
        <f t="shared" si="52"/>
        <v/>
      </c>
      <c r="Q85" s="699"/>
      <c r="R85" s="702"/>
      <c r="S85" s="684"/>
      <c r="T85" s="11"/>
      <c r="U85" s="107" t="str">
        <f t="shared" si="53"/>
        <v/>
      </c>
      <c r="V85" s="695"/>
      <c r="W85" s="685"/>
      <c r="X85" s="707"/>
      <c r="Y85" s="684"/>
      <c r="Z85" s="108" t="str">
        <f t="shared" si="54"/>
        <v/>
      </c>
      <c r="AA85" s="25"/>
      <c r="AB85" s="287" t="str" cm="1">
        <f t="array" ref="AB85">IF((_xlfn.IFS(TRIM(SUBSTITUTE(AA85,CHAR(160),""))="Devis 1",IFERROR(VALUE(TRIM(SUBSTITUTE(N85,CHAR(160),""))),0),TRIM(SUBSTITUTE(AA85,CHAR(160),""))="Devis 2",IFERROR(VALUE(TRIM(SUBSTITUTE(S85,CHAR(160),""))),0),TRIM(SUBSTITUTE(AA85,CHAR(160),""))="Devis 3",IFERROR(VALUE(TRIM(SUBSTITUTE(X85,CHAR(160),""))),0),TRUE,0)*IFERROR(VALUE(TRIM(SUBSTITUTE(D85,CHAR(160),""))),0))=0,"",_xlfn.IFS(TRIM(SUBSTITUTE(AA85,CHAR(160),""))="Devis 1",IFERROR(VALUE(TRIM(SUBSTITUTE(N85,CHAR(160),""))),0),TRIM(SUBSTITUTE(AA85,CHAR(160),""))="Devis 2",IFERROR(VALUE(TRIM(SUBSTITUTE(S85,CHAR(160),""))),0),TRIM(SUBSTITUTE(AA85,CHAR(160),""))="Devis 3",IFERROR(VALUE(TRIM(SUBSTITUTE(X85,CHAR(160),""))),0),TRUE,0)*IFERROR(VALUE(TRIM(SUBSTITUTE(D85,CHAR(160),""))),0))</f>
        <v/>
      </c>
      <c r="AC85" s="275" t="str" cm="1">
        <f t="array" ref="AC85">IF(_xlfn.IFS(TRIM(SUBSTITUTE(AA85,CHAR(160),""))="Devis 1",IFERROR(VALUE(TRIM(SUBSTITUTE(O85,CHAR(160),""))),0),TRIM(SUBSTITUTE(AA85,CHAR(160),""))="Devis 2",IFERROR(VALUE(TRIM(SUBSTITUTE(T85,CHAR(160),""))),0),TRIM(SUBSTITUTE(AA85,CHAR(160),""))="Devis 3",IFERROR(VALUE(TRIM(SUBSTITUTE(Y85,CHAR(160),""))),0),TRUE,0)*IFERROR(VALUE(TRIM(SUBSTITUTE(D85,CHAR(160),""))),0)=0,IF(AB85&lt;&gt;"",0,""),_xlfn.IFS(TRIM(SUBSTITUTE(AA85,CHAR(160),""))="Devis 1",IFERROR(VALUE(TRIM(SUBSTITUTE(O85,CHAR(160),""))),0),TRIM(SUBSTITUTE(AA85,CHAR(160),""))="Devis 2",IFERROR(VALUE(TRIM(SUBSTITUTE(T85,CHAR(160),""))),0),TRIM(SUBSTITUTE(AA85,CHAR(160),""))="Devis 3",IFERROR(VALUE(TRIM(SUBSTITUTE(Y85,CHAR(160),""))),0),TRUE,0)*IFERROR(VALUE(TRIM(SUBSTITUTE(D85,CHAR(160),""))),0))</f>
        <v/>
      </c>
      <c r="AD85" s="285" t="str">
        <f t="shared" si="88"/>
        <v/>
      </c>
      <c r="AE85" s="26"/>
      <c r="AF85" s="109" t="str">
        <f t="shared" si="55"/>
        <v/>
      </c>
      <c r="AG85" s="109" t="str">
        <f t="shared" si="56"/>
        <v/>
      </c>
      <c r="AH85" s="885" t="str">
        <f t="shared" si="57"/>
        <v/>
      </c>
      <c r="AI85" s="109" t="str">
        <f t="shared" si="58"/>
        <v/>
      </c>
      <c r="AJ85" s="109" t="str">
        <f t="shared" si="59"/>
        <v/>
      </c>
      <c r="AK85" s="109" t="str">
        <f t="shared" si="60"/>
        <v/>
      </c>
      <c r="AL85" s="109" t="str">
        <f t="shared" si="61"/>
        <v/>
      </c>
      <c r="AM85" s="109" t="str">
        <f t="shared" si="62"/>
        <v/>
      </c>
      <c r="AN85" s="109" t="str">
        <f t="shared" si="63"/>
        <v/>
      </c>
      <c r="AO85" s="109" t="str">
        <f t="shared" si="64"/>
        <v/>
      </c>
      <c r="AP85" s="754" t="str">
        <f t="shared" si="65"/>
        <v/>
      </c>
      <c r="AQ85" s="755" t="str">
        <f t="shared" si="66"/>
        <v/>
      </c>
      <c r="AR85" s="195" t="str">
        <f t="shared" si="67"/>
        <v/>
      </c>
      <c r="AS85" s="195" t="str">
        <f t="shared" si="68"/>
        <v/>
      </c>
      <c r="AT85" s="664" t="str">
        <f t="shared" si="69"/>
        <v/>
      </c>
      <c r="AU85" s="756" t="str">
        <f t="shared" si="70"/>
        <v/>
      </c>
      <c r="AV85" s="195" t="str">
        <f t="shared" si="71"/>
        <v/>
      </c>
      <c r="AW85" s="195" t="str">
        <f t="shared" si="72"/>
        <v/>
      </c>
      <c r="AX85" s="195" t="str">
        <f t="shared" si="73"/>
        <v/>
      </c>
      <c r="AY85" s="728" t="str">
        <f t="shared" si="74"/>
        <v/>
      </c>
      <c r="AZ85" s="195" t="str">
        <f t="shared" si="75"/>
        <v/>
      </c>
      <c r="BA85" s="195" t="str">
        <f t="shared" si="76"/>
        <v/>
      </c>
      <c r="BB85" s="195" t="str">
        <f t="shared" si="77"/>
        <v/>
      </c>
      <c r="BC85" s="195" t="str">
        <f t="shared" si="78"/>
        <v/>
      </c>
      <c r="BD85" s="112" t="str">
        <f t="shared" si="79"/>
        <v/>
      </c>
      <c r="BE85" s="109" t="str">
        <f t="shared" si="80"/>
        <v/>
      </c>
      <c r="BF85" s="602"/>
      <c r="BG85" s="113" t="str">
        <f t="shared" si="81"/>
        <v/>
      </c>
      <c r="BH85" s="113" t="str">
        <f t="shared" si="82"/>
        <v/>
      </c>
      <c r="BI85" s="113" t="str">
        <f t="shared" si="83"/>
        <v/>
      </c>
      <c r="BJ85" s="281" t="str" cm="1">
        <f t="array" ref="BJ85">IF($AH85="","",
_xlfn.IFS(
$BE85="Devis 1",
IF(ISBLANK(AR85),"",IFERROR(VALUE(TRIM(SUBSTITUTE(AR85,CHAR(160),""))),0)*IFERROR(VALUE(TRIM(SUBSTITUTE($AH85,CHAR(160),""))),0)),
$BE85="Devis 2",
IF(ISBLANK(AW85),"",IFERROR(VALUE(TRIM(SUBSTITUTE(AW85,CHAR(160),""))),0)*IFERROR(VALUE(TRIM(SUBSTITUTE($AH85,CHAR(160),""))),0)),
$BE85="Devis 3",
IF(ISBLANK(BB85),"",IFERROR(VALUE(TRIM(SUBSTITUTE(BB85,CHAR(160),""))),0)*IFERROR(VALUE(TRIM(SUBSTITUTE($AH85,CHAR(160),""))),0)),
TRUE,0
)
)</f>
        <v/>
      </c>
      <c r="BK85" s="281" t="str" cm="1">
        <f t="array" ref="BK85">IF($AH85="","",
_xlfn.IFS(
$BE85="Devis 1",
IF(ISBLANK(AS85),"",IFERROR(VALUE(TRIM(SUBSTITUTE(AS85,CHAR(160),""))),0)*IFERROR(VALUE(TRIM(SUBSTITUTE($AH85,CHAR(160),""))),0)),
$BE85="Devis 2",
IF(ISBLANK(AX85),"",IFERROR(VALUE(TRIM(SUBSTITUTE(AX85,CHAR(160),""))),0)*IFERROR(VALUE(TRIM(SUBSTITUTE($AH85,CHAR(160),""))),0)),
$BE85="Devis 3",
IF(ISBLANK(BC85),"",IFERROR(VALUE(TRIM(SUBSTITUTE(BC85,CHAR(160),""))),0)*IFERROR(VALUE(TRIM(SUBSTITUTE($AH85,CHAR(160),""))),0)),
TRUE,0
)
)</f>
        <v/>
      </c>
      <c r="BL85" s="281" t="str">
        <f t="shared" si="84"/>
        <v/>
      </c>
      <c r="BM85" s="602"/>
      <c r="BN85" s="23" t="str" cm="1">
        <f t="array" ref="BN85">IF(OR(BL85="",BI85="",BJ85="",BG85="",BK85="",BH85=""),"",_xlfn.IFS(
ROUND(IFERROR(VALUE(TRIM(SUBSTITUTE(BL85,CHAR(160),""))),0),2)&gt;
ROUND(IFERROR(VALUE(TRIM(SUBSTITUTE(BI85,CHAR(160),""))),0),2),
"KO : Le montant retenu TTC est supérieur au montant raisonnable TTC. Merci de revoir la ligne de dépense ou plafonner son montant.",
ROUND(IFERROR(VALUE(TRIM(SUBSTITUTE(BJ85,CHAR(160),""))),0),2)&gt;
ROUND(IFERROR(VALUE(TRIM(SUBSTITUTE(BG85,CHAR(160),""))),0),2),
"Attention : Le montant retenu HT est supérieur au montant HT raisonnable. Merci de revoir la ligne de dépense, plafonner son montant, ou justifier la reventillation HT / TVA.",
ROUND(IFERROR(VALUE(TRIM(SUBSTITUTE(BK85,CHAR(160),""))),0),2)&gt;
ROUND(IFERROR(VALUE(TRIM(SUBSTITUTE(BH85,CHAR(160),""))),0),2),
"Attention : Le montant TVA retenu est supérieur au montant TVA raisonnable. Merci de revoir la ligne de dépense, plafonner son montant, ou justifier la reventillation HT / TVA.",
ROUND(IFERROR(VALUE(TRIM(SUBSTITUTE(BL85,CHAR(160),""))),0),2)&gt;
ROUND(IFERROR(VALUE(TRIM(SUBSTITUTE(MIN(P85,U85,Z85),CHAR(160),""))),0),2),
"Attention : Le devis retenu n'est pas le moins cher. Une justification de la part du porteur est nécessaire.",
ROUND(IFERROR(VALUE(TRIM(SUBSTITUTE(BL85,CHAR(160),""))),0),2)=0,
"Attention : montant présenté entièrement écarté",
ROUND(IFERROR(VALUE(TRIM(SUBSTITUTE(BI85,CHAR(160),""))),0),2)=
ROUND(IFERROR(VALUE(TRIM(SUBSTITUTE(BL85,CHAR(160),""))),0),2),
"OK",
ROUND(IFERROR(VALUE(TRIM(SUBSTITUTE(BI85,CHAR(160),""))),0),2)&gt;
ROUND(IFERROR(VALUE(TRIM(SUBSTITUTE(BL85,CHAR(160),""))),0),2),
" OK : Montant instruit inférieur au montant raisonnable.",
TRUE,""
))</f>
        <v/>
      </c>
      <c r="BO85" s="23" t="str" cm="1">
        <f t="array" ref="BO85">IF(OR(BL85="",AD85="",BJ85="",AB85="",BK85="",AC85=""),"",_xlfn.IFS(
ROUND(IFERROR(VALUE(TRIM(SUBSTITUTE(BL85,CHAR(160),""))),0),2)&gt;
ROUND(IFERROR(VALUE(TRIM(SUBSTITUTE(AD85,CHAR(160),""))),0),2),
"KO : Le montant retenu TTC est supérieur au montant présenté TTC. Merci de revoir la ligne de dépense ou plafonner son montant.",
ROUND(IFERROR(VALUE(TRIM(SUBSTITUTE(BJ85,CHAR(160),""))),0),2)&gt;
ROUND(IFERROR(VALUE(TRIM(SUBSTITUTE(AB85,CHAR(160),""))),0),2),
"Attention : Le montant retenu HT est supérieur au montant HT présenté. Merci de revoir la ligne de dépense, plafonner son montant, ou justifier la reventillation HT / TVA.",
ROUND(IFERROR(VALUE(TRIM(SUBSTITUTE(BK85,CHAR(160),""))),0),2)&gt;
ROUND(IFERROR(VALUE(TRIM(SUBSTITUTE(AC85,CHAR(160),""))),0),2),
"Attention : Le montant TVA retenu est supérieur au montant TVA présenté. Merci de revoir la ligne de dépense, plafonner son montant, ou justifier la reventillation HT / TVA.",
ROUND(IFERROR(VALUE(TRIM(SUBSTITUTE(AD85,CHAR(160),""))),0),2)=0,
"",
ROUND(IFERROR(VALUE(TRIM(SUBSTITUTE(BL85,CHAR(160),""))),0),2)=
ROUND(IFERROR(VALUE(TRIM(SUBSTITUTE(AD85,CHAR(160),""))),0),2),
"OK",
ROUND(IFERROR(VALUE(TRIM(SUBSTITUTE(BL85,CHAR(160),""))),0),2)=0,
"Attention : Montant présenté entièrement rejeté.",
ROUND(IFERROR(VALUE(TRIM(SUBSTITUTE(BL85,CHAR(160),""))),0),2)&lt;
ROUND(IFERROR(VALUE(TRIM(SUBSTITUTE(AD85,CHAR(160),""))),0),2),
"Attention : Montant présenté partiellement rejeté.",
TRUE,""
))</f>
        <v/>
      </c>
      <c r="BP85" s="113" t="str">
        <f t="shared" si="85"/>
        <v/>
      </c>
      <c r="BQ85" s="113" t="str">
        <f t="shared" si="86"/>
        <v/>
      </c>
      <c r="BR85" s="33" t="str">
        <f t="shared" si="87"/>
        <v/>
      </c>
    </row>
    <row r="86" spans="1:70" ht="15" customHeight="1">
      <c r="A86" s="193">
        <v>78</v>
      </c>
      <c r="B86" s="7"/>
      <c r="C86" s="7"/>
      <c r="D86" s="19"/>
      <c r="E86" s="7"/>
      <c r="F86" s="7"/>
      <c r="G86" s="7"/>
      <c r="H86" s="7"/>
      <c r="I86" s="28"/>
      <c r="J86" s="7"/>
      <c r="K86" s="29"/>
      <c r="L86" s="678"/>
      <c r="M86" s="7"/>
      <c r="N86" s="672"/>
      <c r="O86" s="11"/>
      <c r="P86" s="107" t="str">
        <f t="shared" si="52"/>
        <v/>
      </c>
      <c r="Q86" s="699"/>
      <c r="R86" s="702"/>
      <c r="S86" s="684"/>
      <c r="T86" s="11"/>
      <c r="U86" s="107" t="str">
        <f t="shared" si="53"/>
        <v/>
      </c>
      <c r="V86" s="695"/>
      <c r="W86" s="685"/>
      <c r="X86" s="707"/>
      <c r="Y86" s="684"/>
      <c r="Z86" s="108" t="str">
        <f t="shared" si="54"/>
        <v/>
      </c>
      <c r="AA86" s="25"/>
      <c r="AB86" s="287" t="str" cm="1">
        <f t="array" ref="AB86">IF((_xlfn.IFS(TRIM(SUBSTITUTE(AA86,CHAR(160),""))="Devis 1",IFERROR(VALUE(TRIM(SUBSTITUTE(N86,CHAR(160),""))),0),TRIM(SUBSTITUTE(AA86,CHAR(160),""))="Devis 2",IFERROR(VALUE(TRIM(SUBSTITUTE(S86,CHAR(160),""))),0),TRIM(SUBSTITUTE(AA86,CHAR(160),""))="Devis 3",IFERROR(VALUE(TRIM(SUBSTITUTE(X86,CHAR(160),""))),0),TRUE,0)*IFERROR(VALUE(TRIM(SUBSTITUTE(D86,CHAR(160),""))),0))=0,"",_xlfn.IFS(TRIM(SUBSTITUTE(AA86,CHAR(160),""))="Devis 1",IFERROR(VALUE(TRIM(SUBSTITUTE(N86,CHAR(160),""))),0),TRIM(SUBSTITUTE(AA86,CHAR(160),""))="Devis 2",IFERROR(VALUE(TRIM(SUBSTITUTE(S86,CHAR(160),""))),0),TRIM(SUBSTITUTE(AA86,CHAR(160),""))="Devis 3",IFERROR(VALUE(TRIM(SUBSTITUTE(X86,CHAR(160),""))),0),TRUE,0)*IFERROR(VALUE(TRIM(SUBSTITUTE(D86,CHAR(160),""))),0))</f>
        <v/>
      </c>
      <c r="AC86" s="275" t="str" cm="1">
        <f t="array" ref="AC86">IF(_xlfn.IFS(TRIM(SUBSTITUTE(AA86,CHAR(160),""))="Devis 1",IFERROR(VALUE(TRIM(SUBSTITUTE(O86,CHAR(160),""))),0),TRIM(SUBSTITUTE(AA86,CHAR(160),""))="Devis 2",IFERROR(VALUE(TRIM(SUBSTITUTE(T86,CHAR(160),""))),0),TRIM(SUBSTITUTE(AA86,CHAR(160),""))="Devis 3",IFERROR(VALUE(TRIM(SUBSTITUTE(Y86,CHAR(160),""))),0),TRUE,0)*IFERROR(VALUE(TRIM(SUBSTITUTE(D86,CHAR(160),""))),0)=0,IF(AB86&lt;&gt;"",0,""),_xlfn.IFS(TRIM(SUBSTITUTE(AA86,CHAR(160),""))="Devis 1",IFERROR(VALUE(TRIM(SUBSTITUTE(O86,CHAR(160),""))),0),TRIM(SUBSTITUTE(AA86,CHAR(160),""))="Devis 2",IFERROR(VALUE(TRIM(SUBSTITUTE(T86,CHAR(160),""))),0),TRIM(SUBSTITUTE(AA86,CHAR(160),""))="Devis 3",IFERROR(VALUE(TRIM(SUBSTITUTE(Y86,CHAR(160),""))),0),TRUE,0)*IFERROR(VALUE(TRIM(SUBSTITUTE(D86,CHAR(160),""))),0))</f>
        <v/>
      </c>
      <c r="AD86" s="285" t="str">
        <f t="shared" si="88"/>
        <v/>
      </c>
      <c r="AE86" s="26"/>
      <c r="AF86" s="109" t="str">
        <f t="shared" si="55"/>
        <v/>
      </c>
      <c r="AG86" s="109" t="str">
        <f t="shared" si="56"/>
        <v/>
      </c>
      <c r="AH86" s="885" t="str">
        <f t="shared" si="57"/>
        <v/>
      </c>
      <c r="AI86" s="109" t="str">
        <f t="shared" si="58"/>
        <v/>
      </c>
      <c r="AJ86" s="109" t="str">
        <f t="shared" si="59"/>
        <v/>
      </c>
      <c r="AK86" s="109" t="str">
        <f t="shared" si="60"/>
        <v/>
      </c>
      <c r="AL86" s="109" t="str">
        <f t="shared" si="61"/>
        <v/>
      </c>
      <c r="AM86" s="109" t="str">
        <f t="shared" si="62"/>
        <v/>
      </c>
      <c r="AN86" s="109" t="str">
        <f t="shared" si="63"/>
        <v/>
      </c>
      <c r="AO86" s="109" t="str">
        <f t="shared" si="64"/>
        <v/>
      </c>
      <c r="AP86" s="754" t="str">
        <f t="shared" si="65"/>
        <v/>
      </c>
      <c r="AQ86" s="755" t="str">
        <f t="shared" si="66"/>
        <v/>
      </c>
      <c r="AR86" s="195" t="str">
        <f t="shared" si="67"/>
        <v/>
      </c>
      <c r="AS86" s="195" t="str">
        <f t="shared" si="68"/>
        <v/>
      </c>
      <c r="AT86" s="664" t="str">
        <f t="shared" si="69"/>
        <v/>
      </c>
      <c r="AU86" s="756" t="str">
        <f t="shared" si="70"/>
        <v/>
      </c>
      <c r="AV86" s="195" t="str">
        <f t="shared" si="71"/>
        <v/>
      </c>
      <c r="AW86" s="195" t="str">
        <f t="shared" si="72"/>
        <v/>
      </c>
      <c r="AX86" s="195" t="str">
        <f t="shared" si="73"/>
        <v/>
      </c>
      <c r="AY86" s="728" t="str">
        <f t="shared" si="74"/>
        <v/>
      </c>
      <c r="AZ86" s="195" t="str">
        <f t="shared" si="75"/>
        <v/>
      </c>
      <c r="BA86" s="195" t="str">
        <f t="shared" si="76"/>
        <v/>
      </c>
      <c r="BB86" s="195" t="str">
        <f t="shared" si="77"/>
        <v/>
      </c>
      <c r="BC86" s="195" t="str">
        <f t="shared" si="78"/>
        <v/>
      </c>
      <c r="BD86" s="112" t="str">
        <f t="shared" si="79"/>
        <v/>
      </c>
      <c r="BE86" s="109" t="str">
        <f t="shared" si="80"/>
        <v/>
      </c>
      <c r="BF86" s="602"/>
      <c r="BG86" s="113" t="str">
        <f t="shared" si="81"/>
        <v/>
      </c>
      <c r="BH86" s="113" t="str">
        <f t="shared" si="82"/>
        <v/>
      </c>
      <c r="BI86" s="113" t="str">
        <f t="shared" si="83"/>
        <v/>
      </c>
      <c r="BJ86" s="281" t="str" cm="1">
        <f t="array" ref="BJ86">IF($AH86="","",
_xlfn.IFS(
$BE86="Devis 1",
IF(ISBLANK(AR86),"",IFERROR(VALUE(TRIM(SUBSTITUTE(AR86,CHAR(160),""))),0)*IFERROR(VALUE(TRIM(SUBSTITUTE($AH86,CHAR(160),""))),0)),
$BE86="Devis 2",
IF(ISBLANK(AW86),"",IFERROR(VALUE(TRIM(SUBSTITUTE(AW86,CHAR(160),""))),0)*IFERROR(VALUE(TRIM(SUBSTITUTE($AH86,CHAR(160),""))),0)),
$BE86="Devis 3",
IF(ISBLANK(BB86),"",IFERROR(VALUE(TRIM(SUBSTITUTE(BB86,CHAR(160),""))),0)*IFERROR(VALUE(TRIM(SUBSTITUTE($AH86,CHAR(160),""))),0)),
TRUE,0
)
)</f>
        <v/>
      </c>
      <c r="BK86" s="281" t="str" cm="1">
        <f t="array" ref="BK86">IF($AH86="","",
_xlfn.IFS(
$BE86="Devis 1",
IF(ISBLANK(AS86),"",IFERROR(VALUE(TRIM(SUBSTITUTE(AS86,CHAR(160),""))),0)*IFERROR(VALUE(TRIM(SUBSTITUTE($AH86,CHAR(160),""))),0)),
$BE86="Devis 2",
IF(ISBLANK(AX86),"",IFERROR(VALUE(TRIM(SUBSTITUTE(AX86,CHAR(160),""))),0)*IFERROR(VALUE(TRIM(SUBSTITUTE($AH86,CHAR(160),""))),0)),
$BE86="Devis 3",
IF(ISBLANK(BC86),"",IFERROR(VALUE(TRIM(SUBSTITUTE(BC86,CHAR(160),""))),0)*IFERROR(VALUE(TRIM(SUBSTITUTE($AH86,CHAR(160),""))),0)),
TRUE,0
)
)</f>
        <v/>
      </c>
      <c r="BL86" s="281" t="str">
        <f t="shared" si="84"/>
        <v/>
      </c>
      <c r="BM86" s="602"/>
      <c r="BN86" s="23" t="str" cm="1">
        <f t="array" ref="BN86">IF(OR(BL86="",BI86="",BJ86="",BG86="",BK86="",BH86=""),"",_xlfn.IFS(
ROUND(IFERROR(VALUE(TRIM(SUBSTITUTE(BL86,CHAR(160),""))),0),2)&gt;
ROUND(IFERROR(VALUE(TRIM(SUBSTITUTE(BI86,CHAR(160),""))),0),2),
"KO : Le montant retenu TTC est supérieur au montant raisonnable TTC. Merci de revoir la ligne de dépense ou plafonner son montant.",
ROUND(IFERROR(VALUE(TRIM(SUBSTITUTE(BJ86,CHAR(160),""))),0),2)&gt;
ROUND(IFERROR(VALUE(TRIM(SUBSTITUTE(BG86,CHAR(160),""))),0),2),
"Attention : Le montant retenu HT est supérieur au montant HT raisonnable. Merci de revoir la ligne de dépense, plafonner son montant, ou justifier la reventillation HT / TVA.",
ROUND(IFERROR(VALUE(TRIM(SUBSTITUTE(BK86,CHAR(160),""))),0),2)&gt;
ROUND(IFERROR(VALUE(TRIM(SUBSTITUTE(BH86,CHAR(160),""))),0),2),
"Attention : Le montant TVA retenu est supérieur au montant TVA raisonnable. Merci de revoir la ligne de dépense, plafonner son montant, ou justifier la reventillation HT / TVA.",
ROUND(IFERROR(VALUE(TRIM(SUBSTITUTE(BL86,CHAR(160),""))),0),2)&gt;
ROUND(IFERROR(VALUE(TRIM(SUBSTITUTE(MIN(P86,U86,Z86),CHAR(160),""))),0),2),
"Attention : Le devis retenu n'est pas le moins cher. Une justification de la part du porteur est nécessaire.",
ROUND(IFERROR(VALUE(TRIM(SUBSTITUTE(BL86,CHAR(160),""))),0),2)=0,
"Attention : montant présenté entièrement écarté",
ROUND(IFERROR(VALUE(TRIM(SUBSTITUTE(BI86,CHAR(160),""))),0),2)=
ROUND(IFERROR(VALUE(TRIM(SUBSTITUTE(BL86,CHAR(160),""))),0),2),
"OK",
ROUND(IFERROR(VALUE(TRIM(SUBSTITUTE(BI86,CHAR(160),""))),0),2)&gt;
ROUND(IFERROR(VALUE(TRIM(SUBSTITUTE(BL86,CHAR(160),""))),0),2),
" OK : Montant instruit inférieur au montant raisonnable.",
TRUE,""
))</f>
        <v/>
      </c>
      <c r="BO86" s="23" t="str" cm="1">
        <f t="array" ref="BO86">IF(OR(BL86="",AD86="",BJ86="",AB86="",BK86="",AC86=""),"",_xlfn.IFS(
ROUND(IFERROR(VALUE(TRIM(SUBSTITUTE(BL86,CHAR(160),""))),0),2)&gt;
ROUND(IFERROR(VALUE(TRIM(SUBSTITUTE(AD86,CHAR(160),""))),0),2),
"KO : Le montant retenu TTC est supérieur au montant présenté TTC. Merci de revoir la ligne de dépense ou plafonner son montant.",
ROUND(IFERROR(VALUE(TRIM(SUBSTITUTE(BJ86,CHAR(160),""))),0),2)&gt;
ROUND(IFERROR(VALUE(TRIM(SUBSTITUTE(AB86,CHAR(160),""))),0),2),
"Attention : Le montant retenu HT est supérieur au montant HT présenté. Merci de revoir la ligne de dépense, plafonner son montant, ou justifier la reventillation HT / TVA.",
ROUND(IFERROR(VALUE(TRIM(SUBSTITUTE(BK86,CHAR(160),""))),0),2)&gt;
ROUND(IFERROR(VALUE(TRIM(SUBSTITUTE(AC86,CHAR(160),""))),0),2),
"Attention : Le montant TVA retenu est supérieur au montant TVA présenté. Merci de revoir la ligne de dépense, plafonner son montant, ou justifier la reventillation HT / TVA.",
ROUND(IFERROR(VALUE(TRIM(SUBSTITUTE(AD86,CHAR(160),""))),0),2)=0,
"",
ROUND(IFERROR(VALUE(TRIM(SUBSTITUTE(BL86,CHAR(160),""))),0),2)=
ROUND(IFERROR(VALUE(TRIM(SUBSTITUTE(AD86,CHAR(160),""))),0),2),
"OK",
ROUND(IFERROR(VALUE(TRIM(SUBSTITUTE(BL86,CHAR(160),""))),0),2)=0,
"Attention : Montant présenté entièrement rejeté.",
ROUND(IFERROR(VALUE(TRIM(SUBSTITUTE(BL86,CHAR(160),""))),0),2)&lt;
ROUND(IFERROR(VALUE(TRIM(SUBSTITUTE(AD86,CHAR(160),""))),0),2),
"Attention : Montant présenté partiellement rejeté.",
TRUE,""
))</f>
        <v/>
      </c>
      <c r="BP86" s="113" t="str">
        <f t="shared" si="85"/>
        <v/>
      </c>
      <c r="BQ86" s="113" t="str">
        <f t="shared" si="86"/>
        <v/>
      </c>
      <c r="BR86" s="33" t="str">
        <f t="shared" si="87"/>
        <v/>
      </c>
    </row>
    <row r="87" spans="1:70" ht="15" customHeight="1">
      <c r="A87" s="193">
        <v>79</v>
      </c>
      <c r="B87" s="7"/>
      <c r="C87" s="7"/>
      <c r="D87" s="19"/>
      <c r="E87" s="7"/>
      <c r="F87" s="7"/>
      <c r="G87" s="7"/>
      <c r="H87" s="7"/>
      <c r="I87" s="28"/>
      <c r="J87" s="7"/>
      <c r="K87" s="29"/>
      <c r="L87" s="678"/>
      <c r="M87" s="7"/>
      <c r="N87" s="672"/>
      <c r="O87" s="11"/>
      <c r="P87" s="107" t="str">
        <f t="shared" si="52"/>
        <v/>
      </c>
      <c r="Q87" s="699"/>
      <c r="R87" s="702"/>
      <c r="S87" s="684"/>
      <c r="T87" s="11"/>
      <c r="U87" s="107" t="str">
        <f t="shared" si="53"/>
        <v/>
      </c>
      <c r="V87" s="695"/>
      <c r="W87" s="685"/>
      <c r="X87" s="707"/>
      <c r="Y87" s="684"/>
      <c r="Z87" s="108" t="str">
        <f t="shared" si="54"/>
        <v/>
      </c>
      <c r="AA87" s="25"/>
      <c r="AB87" s="287" t="str" cm="1">
        <f t="array" ref="AB87">IF((_xlfn.IFS(TRIM(SUBSTITUTE(AA87,CHAR(160),""))="Devis 1",IFERROR(VALUE(TRIM(SUBSTITUTE(N87,CHAR(160),""))),0),TRIM(SUBSTITUTE(AA87,CHAR(160),""))="Devis 2",IFERROR(VALUE(TRIM(SUBSTITUTE(S87,CHAR(160),""))),0),TRIM(SUBSTITUTE(AA87,CHAR(160),""))="Devis 3",IFERROR(VALUE(TRIM(SUBSTITUTE(X87,CHAR(160),""))),0),TRUE,0)*IFERROR(VALUE(TRIM(SUBSTITUTE(D87,CHAR(160),""))),0))=0,"",_xlfn.IFS(TRIM(SUBSTITUTE(AA87,CHAR(160),""))="Devis 1",IFERROR(VALUE(TRIM(SUBSTITUTE(N87,CHAR(160),""))),0),TRIM(SUBSTITUTE(AA87,CHAR(160),""))="Devis 2",IFERROR(VALUE(TRIM(SUBSTITUTE(S87,CHAR(160),""))),0),TRIM(SUBSTITUTE(AA87,CHAR(160),""))="Devis 3",IFERROR(VALUE(TRIM(SUBSTITUTE(X87,CHAR(160),""))),0),TRUE,0)*IFERROR(VALUE(TRIM(SUBSTITUTE(D87,CHAR(160),""))),0))</f>
        <v/>
      </c>
      <c r="AC87" s="275" t="str" cm="1">
        <f t="array" ref="AC87">IF(_xlfn.IFS(TRIM(SUBSTITUTE(AA87,CHAR(160),""))="Devis 1",IFERROR(VALUE(TRIM(SUBSTITUTE(O87,CHAR(160),""))),0),TRIM(SUBSTITUTE(AA87,CHAR(160),""))="Devis 2",IFERROR(VALUE(TRIM(SUBSTITUTE(T87,CHAR(160),""))),0),TRIM(SUBSTITUTE(AA87,CHAR(160),""))="Devis 3",IFERROR(VALUE(TRIM(SUBSTITUTE(Y87,CHAR(160),""))),0),TRUE,0)*IFERROR(VALUE(TRIM(SUBSTITUTE(D87,CHAR(160),""))),0)=0,IF(AB87&lt;&gt;"",0,""),_xlfn.IFS(TRIM(SUBSTITUTE(AA87,CHAR(160),""))="Devis 1",IFERROR(VALUE(TRIM(SUBSTITUTE(O87,CHAR(160),""))),0),TRIM(SUBSTITUTE(AA87,CHAR(160),""))="Devis 2",IFERROR(VALUE(TRIM(SUBSTITUTE(T87,CHAR(160),""))),0),TRIM(SUBSTITUTE(AA87,CHAR(160),""))="Devis 3",IFERROR(VALUE(TRIM(SUBSTITUTE(Y87,CHAR(160),""))),0),TRUE,0)*IFERROR(VALUE(TRIM(SUBSTITUTE(D87,CHAR(160),""))),0))</f>
        <v/>
      </c>
      <c r="AD87" s="285" t="str">
        <f t="shared" si="88"/>
        <v/>
      </c>
      <c r="AE87" s="26"/>
      <c r="AF87" s="109" t="str">
        <f t="shared" si="55"/>
        <v/>
      </c>
      <c r="AG87" s="109" t="str">
        <f t="shared" si="56"/>
        <v/>
      </c>
      <c r="AH87" s="885" t="str">
        <f t="shared" si="57"/>
        <v/>
      </c>
      <c r="AI87" s="109" t="str">
        <f t="shared" si="58"/>
        <v/>
      </c>
      <c r="AJ87" s="109" t="str">
        <f t="shared" si="59"/>
        <v/>
      </c>
      <c r="AK87" s="109" t="str">
        <f t="shared" si="60"/>
        <v/>
      </c>
      <c r="AL87" s="109" t="str">
        <f t="shared" si="61"/>
        <v/>
      </c>
      <c r="AM87" s="109" t="str">
        <f t="shared" si="62"/>
        <v/>
      </c>
      <c r="AN87" s="109" t="str">
        <f t="shared" si="63"/>
        <v/>
      </c>
      <c r="AO87" s="109" t="str">
        <f t="shared" si="64"/>
        <v/>
      </c>
      <c r="AP87" s="754" t="str">
        <f t="shared" si="65"/>
        <v/>
      </c>
      <c r="AQ87" s="755" t="str">
        <f t="shared" si="66"/>
        <v/>
      </c>
      <c r="AR87" s="195" t="str">
        <f t="shared" si="67"/>
        <v/>
      </c>
      <c r="AS87" s="195" t="str">
        <f t="shared" si="68"/>
        <v/>
      </c>
      <c r="AT87" s="664" t="str">
        <f t="shared" si="69"/>
        <v/>
      </c>
      <c r="AU87" s="756" t="str">
        <f t="shared" si="70"/>
        <v/>
      </c>
      <c r="AV87" s="195" t="str">
        <f t="shared" si="71"/>
        <v/>
      </c>
      <c r="AW87" s="195" t="str">
        <f t="shared" si="72"/>
        <v/>
      </c>
      <c r="AX87" s="195" t="str">
        <f t="shared" si="73"/>
        <v/>
      </c>
      <c r="AY87" s="728" t="str">
        <f t="shared" si="74"/>
        <v/>
      </c>
      <c r="AZ87" s="195" t="str">
        <f t="shared" si="75"/>
        <v/>
      </c>
      <c r="BA87" s="195" t="str">
        <f t="shared" si="76"/>
        <v/>
      </c>
      <c r="BB87" s="195" t="str">
        <f t="shared" si="77"/>
        <v/>
      </c>
      <c r="BC87" s="195" t="str">
        <f t="shared" si="78"/>
        <v/>
      </c>
      <c r="BD87" s="112" t="str">
        <f t="shared" si="79"/>
        <v/>
      </c>
      <c r="BE87" s="109" t="str">
        <f t="shared" si="80"/>
        <v/>
      </c>
      <c r="BF87" s="602"/>
      <c r="BG87" s="113" t="str">
        <f t="shared" si="81"/>
        <v/>
      </c>
      <c r="BH87" s="113" t="str">
        <f t="shared" si="82"/>
        <v/>
      </c>
      <c r="BI87" s="113" t="str">
        <f t="shared" si="83"/>
        <v/>
      </c>
      <c r="BJ87" s="281" t="str" cm="1">
        <f t="array" ref="BJ87">IF($AH87="","",
_xlfn.IFS(
$BE87="Devis 1",
IF(ISBLANK(AR87),"",IFERROR(VALUE(TRIM(SUBSTITUTE(AR87,CHAR(160),""))),0)*IFERROR(VALUE(TRIM(SUBSTITUTE($AH87,CHAR(160),""))),0)),
$BE87="Devis 2",
IF(ISBLANK(AW87),"",IFERROR(VALUE(TRIM(SUBSTITUTE(AW87,CHAR(160),""))),0)*IFERROR(VALUE(TRIM(SUBSTITUTE($AH87,CHAR(160),""))),0)),
$BE87="Devis 3",
IF(ISBLANK(BB87),"",IFERROR(VALUE(TRIM(SUBSTITUTE(BB87,CHAR(160),""))),0)*IFERROR(VALUE(TRIM(SUBSTITUTE($AH87,CHAR(160),""))),0)),
TRUE,0
)
)</f>
        <v/>
      </c>
      <c r="BK87" s="281" t="str" cm="1">
        <f t="array" ref="BK87">IF($AH87="","",
_xlfn.IFS(
$BE87="Devis 1",
IF(ISBLANK(AS87),"",IFERROR(VALUE(TRIM(SUBSTITUTE(AS87,CHAR(160),""))),0)*IFERROR(VALUE(TRIM(SUBSTITUTE($AH87,CHAR(160),""))),0)),
$BE87="Devis 2",
IF(ISBLANK(AX87),"",IFERROR(VALUE(TRIM(SUBSTITUTE(AX87,CHAR(160),""))),0)*IFERROR(VALUE(TRIM(SUBSTITUTE($AH87,CHAR(160),""))),0)),
$BE87="Devis 3",
IF(ISBLANK(BC87),"",IFERROR(VALUE(TRIM(SUBSTITUTE(BC87,CHAR(160),""))),0)*IFERROR(VALUE(TRIM(SUBSTITUTE($AH87,CHAR(160),""))),0)),
TRUE,0
)
)</f>
        <v/>
      </c>
      <c r="BL87" s="281" t="str">
        <f t="shared" si="84"/>
        <v/>
      </c>
      <c r="BM87" s="602"/>
      <c r="BN87" s="23" t="str" cm="1">
        <f t="array" ref="BN87">IF(OR(BL87="",BI87="",BJ87="",BG87="",BK87="",BH87=""),"",_xlfn.IFS(
ROUND(IFERROR(VALUE(TRIM(SUBSTITUTE(BL87,CHAR(160),""))),0),2)&gt;
ROUND(IFERROR(VALUE(TRIM(SUBSTITUTE(BI87,CHAR(160),""))),0),2),
"KO : Le montant retenu TTC est supérieur au montant raisonnable TTC. Merci de revoir la ligne de dépense ou plafonner son montant.",
ROUND(IFERROR(VALUE(TRIM(SUBSTITUTE(BJ87,CHAR(160),""))),0),2)&gt;
ROUND(IFERROR(VALUE(TRIM(SUBSTITUTE(BG87,CHAR(160),""))),0),2),
"Attention : Le montant retenu HT est supérieur au montant HT raisonnable. Merci de revoir la ligne de dépense, plafonner son montant, ou justifier la reventillation HT / TVA.",
ROUND(IFERROR(VALUE(TRIM(SUBSTITUTE(BK87,CHAR(160),""))),0),2)&gt;
ROUND(IFERROR(VALUE(TRIM(SUBSTITUTE(BH87,CHAR(160),""))),0),2),
"Attention : Le montant TVA retenu est supérieur au montant TVA raisonnable. Merci de revoir la ligne de dépense, plafonner son montant, ou justifier la reventillation HT / TVA.",
ROUND(IFERROR(VALUE(TRIM(SUBSTITUTE(BL87,CHAR(160),""))),0),2)&gt;
ROUND(IFERROR(VALUE(TRIM(SUBSTITUTE(MIN(P87,U87,Z87),CHAR(160),""))),0),2),
"Attention : Le devis retenu n'est pas le moins cher. Une justification de la part du porteur est nécessaire.",
ROUND(IFERROR(VALUE(TRIM(SUBSTITUTE(BL87,CHAR(160),""))),0),2)=0,
"Attention : montant présenté entièrement écarté",
ROUND(IFERROR(VALUE(TRIM(SUBSTITUTE(BI87,CHAR(160),""))),0),2)=
ROUND(IFERROR(VALUE(TRIM(SUBSTITUTE(BL87,CHAR(160),""))),0),2),
"OK",
ROUND(IFERROR(VALUE(TRIM(SUBSTITUTE(BI87,CHAR(160),""))),0),2)&gt;
ROUND(IFERROR(VALUE(TRIM(SUBSTITUTE(BL87,CHAR(160),""))),0),2),
" OK : Montant instruit inférieur au montant raisonnable.",
TRUE,""
))</f>
        <v/>
      </c>
      <c r="BO87" s="23" t="str" cm="1">
        <f t="array" ref="BO87">IF(OR(BL87="",AD87="",BJ87="",AB87="",BK87="",AC87=""),"",_xlfn.IFS(
ROUND(IFERROR(VALUE(TRIM(SUBSTITUTE(BL87,CHAR(160),""))),0),2)&gt;
ROUND(IFERROR(VALUE(TRIM(SUBSTITUTE(AD87,CHAR(160),""))),0),2),
"KO : Le montant retenu TTC est supérieur au montant présenté TTC. Merci de revoir la ligne de dépense ou plafonner son montant.",
ROUND(IFERROR(VALUE(TRIM(SUBSTITUTE(BJ87,CHAR(160),""))),0),2)&gt;
ROUND(IFERROR(VALUE(TRIM(SUBSTITUTE(AB87,CHAR(160),""))),0),2),
"Attention : Le montant retenu HT est supérieur au montant HT présenté. Merci de revoir la ligne de dépense, plafonner son montant, ou justifier la reventillation HT / TVA.",
ROUND(IFERROR(VALUE(TRIM(SUBSTITUTE(BK87,CHAR(160),""))),0),2)&gt;
ROUND(IFERROR(VALUE(TRIM(SUBSTITUTE(AC87,CHAR(160),""))),0),2),
"Attention : Le montant TVA retenu est supérieur au montant TVA présenté. Merci de revoir la ligne de dépense, plafonner son montant, ou justifier la reventillation HT / TVA.",
ROUND(IFERROR(VALUE(TRIM(SUBSTITUTE(AD87,CHAR(160),""))),0),2)=0,
"",
ROUND(IFERROR(VALUE(TRIM(SUBSTITUTE(BL87,CHAR(160),""))),0),2)=
ROUND(IFERROR(VALUE(TRIM(SUBSTITUTE(AD87,CHAR(160),""))),0),2),
"OK",
ROUND(IFERROR(VALUE(TRIM(SUBSTITUTE(BL87,CHAR(160),""))),0),2)=0,
"Attention : Montant présenté entièrement rejeté.",
ROUND(IFERROR(VALUE(TRIM(SUBSTITUTE(BL87,CHAR(160),""))),0),2)&lt;
ROUND(IFERROR(VALUE(TRIM(SUBSTITUTE(AD87,CHAR(160),""))),0),2),
"Attention : Montant présenté partiellement rejeté.",
TRUE,""
))</f>
        <v/>
      </c>
      <c r="BP87" s="113" t="str">
        <f t="shared" si="85"/>
        <v/>
      </c>
      <c r="BQ87" s="113" t="str">
        <f t="shared" si="86"/>
        <v/>
      </c>
      <c r="BR87" s="33" t="str">
        <f t="shared" si="87"/>
        <v/>
      </c>
    </row>
    <row r="88" spans="1:70" ht="15" customHeight="1">
      <c r="A88" s="193">
        <v>80</v>
      </c>
      <c r="B88" s="7"/>
      <c r="C88" s="7"/>
      <c r="D88" s="19"/>
      <c r="E88" s="7"/>
      <c r="F88" s="7"/>
      <c r="G88" s="7"/>
      <c r="H88" s="7"/>
      <c r="I88" s="28"/>
      <c r="J88" s="7"/>
      <c r="K88" s="29"/>
      <c r="L88" s="678"/>
      <c r="M88" s="7"/>
      <c r="N88" s="672"/>
      <c r="O88" s="11"/>
      <c r="P88" s="107" t="str">
        <f t="shared" si="52"/>
        <v/>
      </c>
      <c r="Q88" s="699"/>
      <c r="R88" s="702"/>
      <c r="S88" s="684"/>
      <c r="T88" s="11"/>
      <c r="U88" s="107" t="str">
        <f t="shared" si="53"/>
        <v/>
      </c>
      <c r="V88" s="695"/>
      <c r="W88" s="685"/>
      <c r="X88" s="707"/>
      <c r="Y88" s="684"/>
      <c r="Z88" s="108" t="str">
        <f t="shared" si="54"/>
        <v/>
      </c>
      <c r="AA88" s="25"/>
      <c r="AB88" s="287" t="str" cm="1">
        <f t="array" ref="AB88">IF((_xlfn.IFS(TRIM(SUBSTITUTE(AA88,CHAR(160),""))="Devis 1",IFERROR(VALUE(TRIM(SUBSTITUTE(N88,CHAR(160),""))),0),TRIM(SUBSTITUTE(AA88,CHAR(160),""))="Devis 2",IFERROR(VALUE(TRIM(SUBSTITUTE(S88,CHAR(160),""))),0),TRIM(SUBSTITUTE(AA88,CHAR(160),""))="Devis 3",IFERROR(VALUE(TRIM(SUBSTITUTE(X88,CHAR(160),""))),0),TRUE,0)*IFERROR(VALUE(TRIM(SUBSTITUTE(D88,CHAR(160),""))),0))=0,"",_xlfn.IFS(TRIM(SUBSTITUTE(AA88,CHAR(160),""))="Devis 1",IFERROR(VALUE(TRIM(SUBSTITUTE(N88,CHAR(160),""))),0),TRIM(SUBSTITUTE(AA88,CHAR(160),""))="Devis 2",IFERROR(VALUE(TRIM(SUBSTITUTE(S88,CHAR(160),""))),0),TRIM(SUBSTITUTE(AA88,CHAR(160),""))="Devis 3",IFERROR(VALUE(TRIM(SUBSTITUTE(X88,CHAR(160),""))),0),TRUE,0)*IFERROR(VALUE(TRIM(SUBSTITUTE(D88,CHAR(160),""))),0))</f>
        <v/>
      </c>
      <c r="AC88" s="275" t="str" cm="1">
        <f t="array" ref="AC88">IF(_xlfn.IFS(TRIM(SUBSTITUTE(AA88,CHAR(160),""))="Devis 1",IFERROR(VALUE(TRIM(SUBSTITUTE(O88,CHAR(160),""))),0),TRIM(SUBSTITUTE(AA88,CHAR(160),""))="Devis 2",IFERROR(VALUE(TRIM(SUBSTITUTE(T88,CHAR(160),""))),0),TRIM(SUBSTITUTE(AA88,CHAR(160),""))="Devis 3",IFERROR(VALUE(TRIM(SUBSTITUTE(Y88,CHAR(160),""))),0),TRUE,0)*IFERROR(VALUE(TRIM(SUBSTITUTE(D88,CHAR(160),""))),0)=0,IF(AB88&lt;&gt;"",0,""),_xlfn.IFS(TRIM(SUBSTITUTE(AA88,CHAR(160),""))="Devis 1",IFERROR(VALUE(TRIM(SUBSTITUTE(O88,CHAR(160),""))),0),TRIM(SUBSTITUTE(AA88,CHAR(160),""))="Devis 2",IFERROR(VALUE(TRIM(SUBSTITUTE(T88,CHAR(160),""))),0),TRIM(SUBSTITUTE(AA88,CHAR(160),""))="Devis 3",IFERROR(VALUE(TRIM(SUBSTITUTE(Y88,CHAR(160),""))),0),TRUE,0)*IFERROR(VALUE(TRIM(SUBSTITUTE(D88,CHAR(160),""))),0))</f>
        <v/>
      </c>
      <c r="AD88" s="285" t="str">
        <f t="shared" si="88"/>
        <v/>
      </c>
      <c r="AE88" s="26"/>
      <c r="AF88" s="109" t="str">
        <f t="shared" si="55"/>
        <v/>
      </c>
      <c r="AG88" s="109" t="str">
        <f t="shared" si="56"/>
        <v/>
      </c>
      <c r="AH88" s="885" t="str">
        <f t="shared" si="57"/>
        <v/>
      </c>
      <c r="AI88" s="109" t="str">
        <f t="shared" si="58"/>
        <v/>
      </c>
      <c r="AJ88" s="109" t="str">
        <f t="shared" si="59"/>
        <v/>
      </c>
      <c r="AK88" s="109" t="str">
        <f t="shared" si="60"/>
        <v/>
      </c>
      <c r="AL88" s="109" t="str">
        <f t="shared" si="61"/>
        <v/>
      </c>
      <c r="AM88" s="109" t="str">
        <f t="shared" si="62"/>
        <v/>
      </c>
      <c r="AN88" s="109" t="str">
        <f t="shared" si="63"/>
        <v/>
      </c>
      <c r="AO88" s="109" t="str">
        <f t="shared" si="64"/>
        <v/>
      </c>
      <c r="AP88" s="754" t="str">
        <f t="shared" si="65"/>
        <v/>
      </c>
      <c r="AQ88" s="755" t="str">
        <f t="shared" si="66"/>
        <v/>
      </c>
      <c r="AR88" s="195" t="str">
        <f t="shared" si="67"/>
        <v/>
      </c>
      <c r="AS88" s="195" t="str">
        <f t="shared" si="68"/>
        <v/>
      </c>
      <c r="AT88" s="664" t="str">
        <f t="shared" si="69"/>
        <v/>
      </c>
      <c r="AU88" s="756" t="str">
        <f t="shared" si="70"/>
        <v/>
      </c>
      <c r="AV88" s="195" t="str">
        <f t="shared" si="71"/>
        <v/>
      </c>
      <c r="AW88" s="195" t="str">
        <f t="shared" si="72"/>
        <v/>
      </c>
      <c r="AX88" s="195" t="str">
        <f t="shared" si="73"/>
        <v/>
      </c>
      <c r="AY88" s="728" t="str">
        <f t="shared" si="74"/>
        <v/>
      </c>
      <c r="AZ88" s="195" t="str">
        <f t="shared" si="75"/>
        <v/>
      </c>
      <c r="BA88" s="195" t="str">
        <f t="shared" si="76"/>
        <v/>
      </c>
      <c r="BB88" s="195" t="str">
        <f t="shared" si="77"/>
        <v/>
      </c>
      <c r="BC88" s="195" t="str">
        <f t="shared" si="78"/>
        <v/>
      </c>
      <c r="BD88" s="112" t="str">
        <f t="shared" si="79"/>
        <v/>
      </c>
      <c r="BE88" s="109" t="str">
        <f t="shared" si="80"/>
        <v/>
      </c>
      <c r="BF88" s="602"/>
      <c r="BG88" s="113" t="str">
        <f t="shared" si="81"/>
        <v/>
      </c>
      <c r="BH88" s="113" t="str">
        <f t="shared" si="82"/>
        <v/>
      </c>
      <c r="BI88" s="113" t="str">
        <f t="shared" si="83"/>
        <v/>
      </c>
      <c r="BJ88" s="281" t="str" cm="1">
        <f t="array" ref="BJ88">IF($AH88="","",
_xlfn.IFS(
$BE88="Devis 1",
IF(ISBLANK(AR88),"",IFERROR(VALUE(TRIM(SUBSTITUTE(AR88,CHAR(160),""))),0)*IFERROR(VALUE(TRIM(SUBSTITUTE($AH88,CHAR(160),""))),0)),
$BE88="Devis 2",
IF(ISBLANK(AW88),"",IFERROR(VALUE(TRIM(SUBSTITUTE(AW88,CHAR(160),""))),0)*IFERROR(VALUE(TRIM(SUBSTITUTE($AH88,CHAR(160),""))),0)),
$BE88="Devis 3",
IF(ISBLANK(BB88),"",IFERROR(VALUE(TRIM(SUBSTITUTE(BB88,CHAR(160),""))),0)*IFERROR(VALUE(TRIM(SUBSTITUTE($AH88,CHAR(160),""))),0)),
TRUE,0
)
)</f>
        <v/>
      </c>
      <c r="BK88" s="281" t="str" cm="1">
        <f t="array" ref="BK88">IF($AH88="","",
_xlfn.IFS(
$BE88="Devis 1",
IF(ISBLANK(AS88),"",IFERROR(VALUE(TRIM(SUBSTITUTE(AS88,CHAR(160),""))),0)*IFERROR(VALUE(TRIM(SUBSTITUTE($AH88,CHAR(160),""))),0)),
$BE88="Devis 2",
IF(ISBLANK(AX88),"",IFERROR(VALUE(TRIM(SUBSTITUTE(AX88,CHAR(160),""))),0)*IFERROR(VALUE(TRIM(SUBSTITUTE($AH88,CHAR(160),""))),0)),
$BE88="Devis 3",
IF(ISBLANK(BC88),"",IFERROR(VALUE(TRIM(SUBSTITUTE(BC88,CHAR(160),""))),0)*IFERROR(VALUE(TRIM(SUBSTITUTE($AH88,CHAR(160),""))),0)),
TRUE,0
)
)</f>
        <v/>
      </c>
      <c r="BL88" s="281" t="str">
        <f t="shared" si="84"/>
        <v/>
      </c>
      <c r="BM88" s="602"/>
      <c r="BN88" s="23" t="str" cm="1">
        <f t="array" ref="BN88">IF(OR(BL88="",BI88="",BJ88="",BG88="",BK88="",BH88=""),"",_xlfn.IFS(
ROUND(IFERROR(VALUE(TRIM(SUBSTITUTE(BL88,CHAR(160),""))),0),2)&gt;
ROUND(IFERROR(VALUE(TRIM(SUBSTITUTE(BI88,CHAR(160),""))),0),2),
"KO : Le montant retenu TTC est supérieur au montant raisonnable TTC. Merci de revoir la ligne de dépense ou plafonner son montant.",
ROUND(IFERROR(VALUE(TRIM(SUBSTITUTE(BJ88,CHAR(160),""))),0),2)&gt;
ROUND(IFERROR(VALUE(TRIM(SUBSTITUTE(BG88,CHAR(160),""))),0),2),
"Attention : Le montant retenu HT est supérieur au montant HT raisonnable. Merci de revoir la ligne de dépense, plafonner son montant, ou justifier la reventillation HT / TVA.",
ROUND(IFERROR(VALUE(TRIM(SUBSTITUTE(BK88,CHAR(160),""))),0),2)&gt;
ROUND(IFERROR(VALUE(TRIM(SUBSTITUTE(BH88,CHAR(160),""))),0),2),
"Attention : Le montant TVA retenu est supérieur au montant TVA raisonnable. Merci de revoir la ligne de dépense, plafonner son montant, ou justifier la reventillation HT / TVA.",
ROUND(IFERROR(VALUE(TRIM(SUBSTITUTE(BL88,CHAR(160),""))),0),2)&gt;
ROUND(IFERROR(VALUE(TRIM(SUBSTITUTE(MIN(P88,U88,Z88),CHAR(160),""))),0),2),
"Attention : Le devis retenu n'est pas le moins cher. Une justification de la part du porteur est nécessaire.",
ROUND(IFERROR(VALUE(TRIM(SUBSTITUTE(BL88,CHAR(160),""))),0),2)=0,
"Attention : montant présenté entièrement écarté",
ROUND(IFERROR(VALUE(TRIM(SUBSTITUTE(BI88,CHAR(160),""))),0),2)=
ROUND(IFERROR(VALUE(TRIM(SUBSTITUTE(BL88,CHAR(160),""))),0),2),
"OK",
ROUND(IFERROR(VALUE(TRIM(SUBSTITUTE(BI88,CHAR(160),""))),0),2)&gt;
ROUND(IFERROR(VALUE(TRIM(SUBSTITUTE(BL88,CHAR(160),""))),0),2),
" OK : Montant instruit inférieur au montant raisonnable.",
TRUE,""
))</f>
        <v/>
      </c>
      <c r="BO88" s="23" t="str" cm="1">
        <f t="array" ref="BO88">IF(OR(BL88="",AD88="",BJ88="",AB88="",BK88="",AC88=""),"",_xlfn.IFS(
ROUND(IFERROR(VALUE(TRIM(SUBSTITUTE(BL88,CHAR(160),""))),0),2)&gt;
ROUND(IFERROR(VALUE(TRIM(SUBSTITUTE(AD88,CHAR(160),""))),0),2),
"KO : Le montant retenu TTC est supérieur au montant présenté TTC. Merci de revoir la ligne de dépense ou plafonner son montant.",
ROUND(IFERROR(VALUE(TRIM(SUBSTITUTE(BJ88,CHAR(160),""))),0),2)&gt;
ROUND(IFERROR(VALUE(TRIM(SUBSTITUTE(AB88,CHAR(160),""))),0),2),
"Attention : Le montant retenu HT est supérieur au montant HT présenté. Merci de revoir la ligne de dépense, plafonner son montant, ou justifier la reventillation HT / TVA.",
ROUND(IFERROR(VALUE(TRIM(SUBSTITUTE(BK88,CHAR(160),""))),0),2)&gt;
ROUND(IFERROR(VALUE(TRIM(SUBSTITUTE(AC88,CHAR(160),""))),0),2),
"Attention : Le montant TVA retenu est supérieur au montant TVA présenté. Merci de revoir la ligne de dépense, plafonner son montant, ou justifier la reventillation HT / TVA.",
ROUND(IFERROR(VALUE(TRIM(SUBSTITUTE(AD88,CHAR(160),""))),0),2)=0,
"",
ROUND(IFERROR(VALUE(TRIM(SUBSTITUTE(BL88,CHAR(160),""))),0),2)=
ROUND(IFERROR(VALUE(TRIM(SUBSTITUTE(AD88,CHAR(160),""))),0),2),
"OK",
ROUND(IFERROR(VALUE(TRIM(SUBSTITUTE(BL88,CHAR(160),""))),0),2)=0,
"Attention : Montant présenté entièrement rejeté.",
ROUND(IFERROR(VALUE(TRIM(SUBSTITUTE(BL88,CHAR(160),""))),0),2)&lt;
ROUND(IFERROR(VALUE(TRIM(SUBSTITUTE(AD88,CHAR(160),""))),0),2),
"Attention : Montant présenté partiellement rejeté.",
TRUE,""
))</f>
        <v/>
      </c>
      <c r="BP88" s="113" t="str">
        <f t="shared" si="85"/>
        <v/>
      </c>
      <c r="BQ88" s="113" t="str">
        <f t="shared" si="86"/>
        <v/>
      </c>
      <c r="BR88" s="33" t="str">
        <f t="shared" si="87"/>
        <v/>
      </c>
    </row>
    <row r="89" spans="1:70" ht="15" customHeight="1">
      <c r="A89" s="193">
        <v>81</v>
      </c>
      <c r="B89" s="7"/>
      <c r="C89" s="7"/>
      <c r="D89" s="19"/>
      <c r="E89" s="7"/>
      <c r="F89" s="7"/>
      <c r="G89" s="7"/>
      <c r="H89" s="7"/>
      <c r="I89" s="28"/>
      <c r="J89" s="7"/>
      <c r="K89" s="29"/>
      <c r="L89" s="678"/>
      <c r="M89" s="7"/>
      <c r="N89" s="672"/>
      <c r="O89" s="11"/>
      <c r="P89" s="107" t="str">
        <f t="shared" si="52"/>
        <v/>
      </c>
      <c r="Q89" s="699"/>
      <c r="R89" s="702"/>
      <c r="S89" s="684"/>
      <c r="T89" s="11"/>
      <c r="U89" s="107" t="str">
        <f t="shared" si="53"/>
        <v/>
      </c>
      <c r="V89" s="695"/>
      <c r="W89" s="685"/>
      <c r="X89" s="707"/>
      <c r="Y89" s="684"/>
      <c r="Z89" s="108" t="str">
        <f t="shared" si="54"/>
        <v/>
      </c>
      <c r="AA89" s="25"/>
      <c r="AB89" s="287" t="str" cm="1">
        <f t="array" ref="AB89">IF((_xlfn.IFS(TRIM(SUBSTITUTE(AA89,CHAR(160),""))="Devis 1",IFERROR(VALUE(TRIM(SUBSTITUTE(N89,CHAR(160),""))),0),TRIM(SUBSTITUTE(AA89,CHAR(160),""))="Devis 2",IFERROR(VALUE(TRIM(SUBSTITUTE(S89,CHAR(160),""))),0),TRIM(SUBSTITUTE(AA89,CHAR(160),""))="Devis 3",IFERROR(VALUE(TRIM(SUBSTITUTE(X89,CHAR(160),""))),0),TRUE,0)*IFERROR(VALUE(TRIM(SUBSTITUTE(D89,CHAR(160),""))),0))=0,"",_xlfn.IFS(TRIM(SUBSTITUTE(AA89,CHAR(160),""))="Devis 1",IFERROR(VALUE(TRIM(SUBSTITUTE(N89,CHAR(160),""))),0),TRIM(SUBSTITUTE(AA89,CHAR(160),""))="Devis 2",IFERROR(VALUE(TRIM(SUBSTITUTE(S89,CHAR(160),""))),0),TRIM(SUBSTITUTE(AA89,CHAR(160),""))="Devis 3",IFERROR(VALUE(TRIM(SUBSTITUTE(X89,CHAR(160),""))),0),TRUE,0)*IFERROR(VALUE(TRIM(SUBSTITUTE(D89,CHAR(160),""))),0))</f>
        <v/>
      </c>
      <c r="AC89" s="275" t="str" cm="1">
        <f t="array" ref="AC89">IF(_xlfn.IFS(TRIM(SUBSTITUTE(AA89,CHAR(160),""))="Devis 1",IFERROR(VALUE(TRIM(SUBSTITUTE(O89,CHAR(160),""))),0),TRIM(SUBSTITUTE(AA89,CHAR(160),""))="Devis 2",IFERROR(VALUE(TRIM(SUBSTITUTE(T89,CHAR(160),""))),0),TRIM(SUBSTITUTE(AA89,CHAR(160),""))="Devis 3",IFERROR(VALUE(TRIM(SUBSTITUTE(Y89,CHAR(160),""))),0),TRUE,0)*IFERROR(VALUE(TRIM(SUBSTITUTE(D89,CHAR(160),""))),0)=0,IF(AB89&lt;&gt;"",0,""),_xlfn.IFS(TRIM(SUBSTITUTE(AA89,CHAR(160),""))="Devis 1",IFERROR(VALUE(TRIM(SUBSTITUTE(O89,CHAR(160),""))),0),TRIM(SUBSTITUTE(AA89,CHAR(160),""))="Devis 2",IFERROR(VALUE(TRIM(SUBSTITUTE(T89,CHAR(160),""))),0),TRIM(SUBSTITUTE(AA89,CHAR(160),""))="Devis 3",IFERROR(VALUE(TRIM(SUBSTITUTE(Y89,CHAR(160),""))),0),TRUE,0)*IFERROR(VALUE(TRIM(SUBSTITUTE(D89,CHAR(160),""))),0))</f>
        <v/>
      </c>
      <c r="AD89" s="285" t="str">
        <f t="shared" si="88"/>
        <v/>
      </c>
      <c r="AE89" s="26"/>
      <c r="AF89" s="109" t="str">
        <f t="shared" si="55"/>
        <v/>
      </c>
      <c r="AG89" s="109" t="str">
        <f t="shared" si="56"/>
        <v/>
      </c>
      <c r="AH89" s="885" t="str">
        <f t="shared" si="57"/>
        <v/>
      </c>
      <c r="AI89" s="109" t="str">
        <f t="shared" si="58"/>
        <v/>
      </c>
      <c r="AJ89" s="109" t="str">
        <f t="shared" si="59"/>
        <v/>
      </c>
      <c r="AK89" s="109" t="str">
        <f t="shared" si="60"/>
        <v/>
      </c>
      <c r="AL89" s="109" t="str">
        <f t="shared" si="61"/>
        <v/>
      </c>
      <c r="AM89" s="109" t="str">
        <f t="shared" si="62"/>
        <v/>
      </c>
      <c r="AN89" s="109" t="str">
        <f t="shared" si="63"/>
        <v/>
      </c>
      <c r="AO89" s="109" t="str">
        <f t="shared" si="64"/>
        <v/>
      </c>
      <c r="AP89" s="754" t="str">
        <f t="shared" si="65"/>
        <v/>
      </c>
      <c r="AQ89" s="755" t="str">
        <f t="shared" si="66"/>
        <v/>
      </c>
      <c r="AR89" s="195" t="str">
        <f t="shared" si="67"/>
        <v/>
      </c>
      <c r="AS89" s="195" t="str">
        <f t="shared" si="68"/>
        <v/>
      </c>
      <c r="AT89" s="664" t="str">
        <f t="shared" si="69"/>
        <v/>
      </c>
      <c r="AU89" s="756" t="str">
        <f t="shared" si="70"/>
        <v/>
      </c>
      <c r="AV89" s="195" t="str">
        <f t="shared" si="71"/>
        <v/>
      </c>
      <c r="AW89" s="195" t="str">
        <f t="shared" si="72"/>
        <v/>
      </c>
      <c r="AX89" s="195" t="str">
        <f t="shared" si="73"/>
        <v/>
      </c>
      <c r="AY89" s="728" t="str">
        <f t="shared" si="74"/>
        <v/>
      </c>
      <c r="AZ89" s="195" t="str">
        <f t="shared" si="75"/>
        <v/>
      </c>
      <c r="BA89" s="195" t="str">
        <f t="shared" si="76"/>
        <v/>
      </c>
      <c r="BB89" s="195" t="str">
        <f t="shared" si="77"/>
        <v/>
      </c>
      <c r="BC89" s="195" t="str">
        <f t="shared" si="78"/>
        <v/>
      </c>
      <c r="BD89" s="112" t="str">
        <f t="shared" si="79"/>
        <v/>
      </c>
      <c r="BE89" s="109" t="str">
        <f t="shared" si="80"/>
        <v/>
      </c>
      <c r="BF89" s="602"/>
      <c r="BG89" s="113" t="str">
        <f t="shared" si="81"/>
        <v/>
      </c>
      <c r="BH89" s="113" t="str">
        <f t="shared" si="82"/>
        <v/>
      </c>
      <c r="BI89" s="113" t="str">
        <f t="shared" si="83"/>
        <v/>
      </c>
      <c r="BJ89" s="281" t="str" cm="1">
        <f t="array" ref="BJ89">IF($AH89="","",
_xlfn.IFS(
$BE89="Devis 1",
IF(ISBLANK(AR89),"",IFERROR(VALUE(TRIM(SUBSTITUTE(AR89,CHAR(160),""))),0)*IFERROR(VALUE(TRIM(SUBSTITUTE($AH89,CHAR(160),""))),0)),
$BE89="Devis 2",
IF(ISBLANK(AW89),"",IFERROR(VALUE(TRIM(SUBSTITUTE(AW89,CHAR(160),""))),0)*IFERROR(VALUE(TRIM(SUBSTITUTE($AH89,CHAR(160),""))),0)),
$BE89="Devis 3",
IF(ISBLANK(BB89),"",IFERROR(VALUE(TRIM(SUBSTITUTE(BB89,CHAR(160),""))),0)*IFERROR(VALUE(TRIM(SUBSTITUTE($AH89,CHAR(160),""))),0)),
TRUE,0
)
)</f>
        <v/>
      </c>
      <c r="BK89" s="281" t="str" cm="1">
        <f t="array" ref="BK89">IF($AH89="","",
_xlfn.IFS(
$BE89="Devis 1",
IF(ISBLANK(AS89),"",IFERROR(VALUE(TRIM(SUBSTITUTE(AS89,CHAR(160),""))),0)*IFERROR(VALUE(TRIM(SUBSTITUTE($AH89,CHAR(160),""))),0)),
$BE89="Devis 2",
IF(ISBLANK(AX89),"",IFERROR(VALUE(TRIM(SUBSTITUTE(AX89,CHAR(160),""))),0)*IFERROR(VALUE(TRIM(SUBSTITUTE($AH89,CHAR(160),""))),0)),
$BE89="Devis 3",
IF(ISBLANK(BC89),"",IFERROR(VALUE(TRIM(SUBSTITUTE(BC89,CHAR(160),""))),0)*IFERROR(VALUE(TRIM(SUBSTITUTE($AH89,CHAR(160),""))),0)),
TRUE,0
)
)</f>
        <v/>
      </c>
      <c r="BL89" s="281" t="str">
        <f t="shared" si="84"/>
        <v/>
      </c>
      <c r="BM89" s="602"/>
      <c r="BN89" s="23" t="str" cm="1">
        <f t="array" ref="BN89">IF(OR(BL89="",BI89="",BJ89="",BG89="",BK89="",BH89=""),"",_xlfn.IFS(
ROUND(IFERROR(VALUE(TRIM(SUBSTITUTE(BL89,CHAR(160),""))),0),2)&gt;
ROUND(IFERROR(VALUE(TRIM(SUBSTITUTE(BI89,CHAR(160),""))),0),2),
"KO : Le montant retenu TTC est supérieur au montant raisonnable TTC. Merci de revoir la ligne de dépense ou plafonner son montant.",
ROUND(IFERROR(VALUE(TRIM(SUBSTITUTE(BJ89,CHAR(160),""))),0),2)&gt;
ROUND(IFERROR(VALUE(TRIM(SUBSTITUTE(BG89,CHAR(160),""))),0),2),
"Attention : Le montant retenu HT est supérieur au montant HT raisonnable. Merci de revoir la ligne de dépense, plafonner son montant, ou justifier la reventillation HT / TVA.",
ROUND(IFERROR(VALUE(TRIM(SUBSTITUTE(BK89,CHAR(160),""))),0),2)&gt;
ROUND(IFERROR(VALUE(TRIM(SUBSTITUTE(BH89,CHAR(160),""))),0),2),
"Attention : Le montant TVA retenu est supérieur au montant TVA raisonnable. Merci de revoir la ligne de dépense, plafonner son montant, ou justifier la reventillation HT / TVA.",
ROUND(IFERROR(VALUE(TRIM(SUBSTITUTE(BL89,CHAR(160),""))),0),2)&gt;
ROUND(IFERROR(VALUE(TRIM(SUBSTITUTE(MIN(P89,U89,Z89),CHAR(160),""))),0),2),
"Attention : Le devis retenu n'est pas le moins cher. Une justification de la part du porteur est nécessaire.",
ROUND(IFERROR(VALUE(TRIM(SUBSTITUTE(BL89,CHAR(160),""))),0),2)=0,
"Attention : montant présenté entièrement écarté",
ROUND(IFERROR(VALUE(TRIM(SUBSTITUTE(BI89,CHAR(160),""))),0),2)=
ROUND(IFERROR(VALUE(TRIM(SUBSTITUTE(BL89,CHAR(160),""))),0),2),
"OK",
ROUND(IFERROR(VALUE(TRIM(SUBSTITUTE(BI89,CHAR(160),""))),0),2)&gt;
ROUND(IFERROR(VALUE(TRIM(SUBSTITUTE(BL89,CHAR(160),""))),0),2),
" OK : Montant instruit inférieur au montant raisonnable.",
TRUE,""
))</f>
        <v/>
      </c>
      <c r="BO89" s="23" t="str" cm="1">
        <f t="array" ref="BO89">IF(OR(BL89="",AD89="",BJ89="",AB89="",BK89="",AC89=""),"",_xlfn.IFS(
ROUND(IFERROR(VALUE(TRIM(SUBSTITUTE(BL89,CHAR(160),""))),0),2)&gt;
ROUND(IFERROR(VALUE(TRIM(SUBSTITUTE(AD89,CHAR(160),""))),0),2),
"KO : Le montant retenu TTC est supérieur au montant présenté TTC. Merci de revoir la ligne de dépense ou plafonner son montant.",
ROUND(IFERROR(VALUE(TRIM(SUBSTITUTE(BJ89,CHAR(160),""))),0),2)&gt;
ROUND(IFERROR(VALUE(TRIM(SUBSTITUTE(AB89,CHAR(160),""))),0),2),
"Attention : Le montant retenu HT est supérieur au montant HT présenté. Merci de revoir la ligne de dépense, plafonner son montant, ou justifier la reventillation HT / TVA.",
ROUND(IFERROR(VALUE(TRIM(SUBSTITUTE(BK89,CHAR(160),""))),0),2)&gt;
ROUND(IFERROR(VALUE(TRIM(SUBSTITUTE(AC89,CHAR(160),""))),0),2),
"Attention : Le montant TVA retenu est supérieur au montant TVA présenté. Merci de revoir la ligne de dépense, plafonner son montant, ou justifier la reventillation HT / TVA.",
ROUND(IFERROR(VALUE(TRIM(SUBSTITUTE(AD89,CHAR(160),""))),0),2)=0,
"",
ROUND(IFERROR(VALUE(TRIM(SUBSTITUTE(BL89,CHAR(160),""))),0),2)=
ROUND(IFERROR(VALUE(TRIM(SUBSTITUTE(AD89,CHAR(160),""))),0),2),
"OK",
ROUND(IFERROR(VALUE(TRIM(SUBSTITUTE(BL89,CHAR(160),""))),0),2)=0,
"Attention : Montant présenté entièrement rejeté.",
ROUND(IFERROR(VALUE(TRIM(SUBSTITUTE(BL89,CHAR(160),""))),0),2)&lt;
ROUND(IFERROR(VALUE(TRIM(SUBSTITUTE(AD89,CHAR(160),""))),0),2),
"Attention : Montant présenté partiellement rejeté.",
TRUE,""
))</f>
        <v/>
      </c>
      <c r="BP89" s="113" t="str">
        <f t="shared" si="85"/>
        <v/>
      </c>
      <c r="BQ89" s="113" t="str">
        <f t="shared" si="86"/>
        <v/>
      </c>
      <c r="BR89" s="33" t="str">
        <f t="shared" si="87"/>
        <v/>
      </c>
    </row>
    <row r="90" spans="1:70" ht="15" customHeight="1">
      <c r="A90" s="193">
        <v>82</v>
      </c>
      <c r="B90" s="7"/>
      <c r="C90" s="7"/>
      <c r="D90" s="19"/>
      <c r="E90" s="7"/>
      <c r="F90" s="7"/>
      <c r="G90" s="7"/>
      <c r="H90" s="7"/>
      <c r="I90" s="28"/>
      <c r="J90" s="7"/>
      <c r="K90" s="29"/>
      <c r="L90" s="678"/>
      <c r="M90" s="7"/>
      <c r="N90" s="672"/>
      <c r="O90" s="11"/>
      <c r="P90" s="107" t="str">
        <f t="shared" si="52"/>
        <v/>
      </c>
      <c r="Q90" s="699"/>
      <c r="R90" s="702"/>
      <c r="S90" s="684"/>
      <c r="T90" s="11"/>
      <c r="U90" s="107" t="str">
        <f t="shared" si="53"/>
        <v/>
      </c>
      <c r="V90" s="695"/>
      <c r="W90" s="685"/>
      <c r="X90" s="707"/>
      <c r="Y90" s="684"/>
      <c r="Z90" s="108" t="str">
        <f t="shared" si="54"/>
        <v/>
      </c>
      <c r="AA90" s="25"/>
      <c r="AB90" s="287" t="str" cm="1">
        <f t="array" ref="AB90">IF((_xlfn.IFS(TRIM(SUBSTITUTE(AA90,CHAR(160),""))="Devis 1",IFERROR(VALUE(TRIM(SUBSTITUTE(N90,CHAR(160),""))),0),TRIM(SUBSTITUTE(AA90,CHAR(160),""))="Devis 2",IFERROR(VALUE(TRIM(SUBSTITUTE(S90,CHAR(160),""))),0),TRIM(SUBSTITUTE(AA90,CHAR(160),""))="Devis 3",IFERROR(VALUE(TRIM(SUBSTITUTE(X90,CHAR(160),""))),0),TRUE,0)*IFERROR(VALUE(TRIM(SUBSTITUTE(D90,CHAR(160),""))),0))=0,"",_xlfn.IFS(TRIM(SUBSTITUTE(AA90,CHAR(160),""))="Devis 1",IFERROR(VALUE(TRIM(SUBSTITUTE(N90,CHAR(160),""))),0),TRIM(SUBSTITUTE(AA90,CHAR(160),""))="Devis 2",IFERROR(VALUE(TRIM(SUBSTITUTE(S90,CHAR(160),""))),0),TRIM(SUBSTITUTE(AA90,CHAR(160),""))="Devis 3",IFERROR(VALUE(TRIM(SUBSTITUTE(X90,CHAR(160),""))),0),TRUE,0)*IFERROR(VALUE(TRIM(SUBSTITUTE(D90,CHAR(160),""))),0))</f>
        <v/>
      </c>
      <c r="AC90" s="275" t="str" cm="1">
        <f t="array" ref="AC90">IF(_xlfn.IFS(TRIM(SUBSTITUTE(AA90,CHAR(160),""))="Devis 1",IFERROR(VALUE(TRIM(SUBSTITUTE(O90,CHAR(160),""))),0),TRIM(SUBSTITUTE(AA90,CHAR(160),""))="Devis 2",IFERROR(VALUE(TRIM(SUBSTITUTE(T90,CHAR(160),""))),0),TRIM(SUBSTITUTE(AA90,CHAR(160),""))="Devis 3",IFERROR(VALUE(TRIM(SUBSTITUTE(Y90,CHAR(160),""))),0),TRUE,0)*IFERROR(VALUE(TRIM(SUBSTITUTE(D90,CHAR(160),""))),0)=0,IF(AB90&lt;&gt;"",0,""),_xlfn.IFS(TRIM(SUBSTITUTE(AA90,CHAR(160),""))="Devis 1",IFERROR(VALUE(TRIM(SUBSTITUTE(O90,CHAR(160),""))),0),TRIM(SUBSTITUTE(AA90,CHAR(160),""))="Devis 2",IFERROR(VALUE(TRIM(SUBSTITUTE(T90,CHAR(160),""))),0),TRIM(SUBSTITUTE(AA90,CHAR(160),""))="Devis 3",IFERROR(VALUE(TRIM(SUBSTITUTE(Y90,CHAR(160),""))),0),TRUE,0)*IFERROR(VALUE(TRIM(SUBSTITUTE(D90,CHAR(160),""))),0))</f>
        <v/>
      </c>
      <c r="AD90" s="285" t="str">
        <f t="shared" si="88"/>
        <v/>
      </c>
      <c r="AE90" s="26"/>
      <c r="AF90" s="109" t="str">
        <f t="shared" si="55"/>
        <v/>
      </c>
      <c r="AG90" s="109" t="str">
        <f t="shared" si="56"/>
        <v/>
      </c>
      <c r="AH90" s="885" t="str">
        <f t="shared" si="57"/>
        <v/>
      </c>
      <c r="AI90" s="109" t="str">
        <f t="shared" si="58"/>
        <v/>
      </c>
      <c r="AJ90" s="109" t="str">
        <f t="shared" si="59"/>
        <v/>
      </c>
      <c r="AK90" s="109" t="str">
        <f t="shared" si="60"/>
        <v/>
      </c>
      <c r="AL90" s="109" t="str">
        <f t="shared" si="61"/>
        <v/>
      </c>
      <c r="AM90" s="109" t="str">
        <f t="shared" si="62"/>
        <v/>
      </c>
      <c r="AN90" s="109" t="str">
        <f t="shared" si="63"/>
        <v/>
      </c>
      <c r="AO90" s="109" t="str">
        <f t="shared" si="64"/>
        <v/>
      </c>
      <c r="AP90" s="754" t="str">
        <f t="shared" si="65"/>
        <v/>
      </c>
      <c r="AQ90" s="755" t="str">
        <f t="shared" si="66"/>
        <v/>
      </c>
      <c r="AR90" s="195" t="str">
        <f t="shared" si="67"/>
        <v/>
      </c>
      <c r="AS90" s="195" t="str">
        <f t="shared" si="68"/>
        <v/>
      </c>
      <c r="AT90" s="664" t="str">
        <f t="shared" si="69"/>
        <v/>
      </c>
      <c r="AU90" s="756" t="str">
        <f t="shared" si="70"/>
        <v/>
      </c>
      <c r="AV90" s="195" t="str">
        <f t="shared" si="71"/>
        <v/>
      </c>
      <c r="AW90" s="195" t="str">
        <f t="shared" si="72"/>
        <v/>
      </c>
      <c r="AX90" s="195" t="str">
        <f t="shared" si="73"/>
        <v/>
      </c>
      <c r="AY90" s="728" t="str">
        <f t="shared" si="74"/>
        <v/>
      </c>
      <c r="AZ90" s="195" t="str">
        <f t="shared" si="75"/>
        <v/>
      </c>
      <c r="BA90" s="195" t="str">
        <f t="shared" si="76"/>
        <v/>
      </c>
      <c r="BB90" s="195" t="str">
        <f t="shared" si="77"/>
        <v/>
      </c>
      <c r="BC90" s="195" t="str">
        <f t="shared" si="78"/>
        <v/>
      </c>
      <c r="BD90" s="112" t="str">
        <f t="shared" si="79"/>
        <v/>
      </c>
      <c r="BE90" s="109" t="str">
        <f t="shared" si="80"/>
        <v/>
      </c>
      <c r="BF90" s="602"/>
      <c r="BG90" s="113" t="str">
        <f t="shared" si="81"/>
        <v/>
      </c>
      <c r="BH90" s="113" t="str">
        <f t="shared" si="82"/>
        <v/>
      </c>
      <c r="BI90" s="113" t="str">
        <f t="shared" si="83"/>
        <v/>
      </c>
      <c r="BJ90" s="281" t="str" cm="1">
        <f t="array" ref="BJ90">IF($AH90="","",
_xlfn.IFS(
$BE90="Devis 1",
IF(ISBLANK(AR90),"",IFERROR(VALUE(TRIM(SUBSTITUTE(AR90,CHAR(160),""))),0)*IFERROR(VALUE(TRIM(SUBSTITUTE($AH90,CHAR(160),""))),0)),
$BE90="Devis 2",
IF(ISBLANK(AW90),"",IFERROR(VALUE(TRIM(SUBSTITUTE(AW90,CHAR(160),""))),0)*IFERROR(VALUE(TRIM(SUBSTITUTE($AH90,CHAR(160),""))),0)),
$BE90="Devis 3",
IF(ISBLANK(BB90),"",IFERROR(VALUE(TRIM(SUBSTITUTE(BB90,CHAR(160),""))),0)*IFERROR(VALUE(TRIM(SUBSTITUTE($AH90,CHAR(160),""))),0)),
TRUE,0
)
)</f>
        <v/>
      </c>
      <c r="BK90" s="281" t="str" cm="1">
        <f t="array" ref="BK90">IF($AH90="","",
_xlfn.IFS(
$BE90="Devis 1",
IF(ISBLANK(AS90),"",IFERROR(VALUE(TRIM(SUBSTITUTE(AS90,CHAR(160),""))),0)*IFERROR(VALUE(TRIM(SUBSTITUTE($AH90,CHAR(160),""))),0)),
$BE90="Devis 2",
IF(ISBLANK(AX90),"",IFERROR(VALUE(TRIM(SUBSTITUTE(AX90,CHAR(160),""))),0)*IFERROR(VALUE(TRIM(SUBSTITUTE($AH90,CHAR(160),""))),0)),
$BE90="Devis 3",
IF(ISBLANK(BC90),"",IFERROR(VALUE(TRIM(SUBSTITUTE(BC90,CHAR(160),""))),0)*IFERROR(VALUE(TRIM(SUBSTITUTE($AH90,CHAR(160),""))),0)),
TRUE,0
)
)</f>
        <v/>
      </c>
      <c r="BL90" s="281" t="str">
        <f t="shared" si="84"/>
        <v/>
      </c>
      <c r="BM90" s="602"/>
      <c r="BN90" s="23" t="str" cm="1">
        <f t="array" ref="BN90">IF(OR(BL90="",BI90="",BJ90="",BG90="",BK90="",BH90=""),"",_xlfn.IFS(
ROUND(IFERROR(VALUE(TRIM(SUBSTITUTE(BL90,CHAR(160),""))),0),2)&gt;
ROUND(IFERROR(VALUE(TRIM(SUBSTITUTE(BI90,CHAR(160),""))),0),2),
"KO : Le montant retenu TTC est supérieur au montant raisonnable TTC. Merci de revoir la ligne de dépense ou plafonner son montant.",
ROUND(IFERROR(VALUE(TRIM(SUBSTITUTE(BJ90,CHAR(160),""))),0),2)&gt;
ROUND(IFERROR(VALUE(TRIM(SUBSTITUTE(BG90,CHAR(160),""))),0),2),
"Attention : Le montant retenu HT est supérieur au montant HT raisonnable. Merci de revoir la ligne de dépense, plafonner son montant, ou justifier la reventillation HT / TVA.",
ROUND(IFERROR(VALUE(TRIM(SUBSTITUTE(BK90,CHAR(160),""))),0),2)&gt;
ROUND(IFERROR(VALUE(TRIM(SUBSTITUTE(BH90,CHAR(160),""))),0),2),
"Attention : Le montant TVA retenu est supérieur au montant TVA raisonnable. Merci de revoir la ligne de dépense, plafonner son montant, ou justifier la reventillation HT / TVA.",
ROUND(IFERROR(VALUE(TRIM(SUBSTITUTE(BL90,CHAR(160),""))),0),2)&gt;
ROUND(IFERROR(VALUE(TRIM(SUBSTITUTE(MIN(P90,U90,Z90),CHAR(160),""))),0),2),
"Attention : Le devis retenu n'est pas le moins cher. Une justification de la part du porteur est nécessaire.",
ROUND(IFERROR(VALUE(TRIM(SUBSTITUTE(BL90,CHAR(160),""))),0),2)=0,
"Attention : montant présenté entièrement écarté",
ROUND(IFERROR(VALUE(TRIM(SUBSTITUTE(BI90,CHAR(160),""))),0),2)=
ROUND(IFERROR(VALUE(TRIM(SUBSTITUTE(BL90,CHAR(160),""))),0),2),
"OK",
ROUND(IFERROR(VALUE(TRIM(SUBSTITUTE(BI90,CHAR(160),""))),0),2)&gt;
ROUND(IFERROR(VALUE(TRIM(SUBSTITUTE(BL90,CHAR(160),""))),0),2),
" OK : Montant instruit inférieur au montant raisonnable.",
TRUE,""
))</f>
        <v/>
      </c>
      <c r="BO90" s="23" t="str" cm="1">
        <f t="array" ref="BO90">IF(OR(BL90="",AD90="",BJ90="",AB90="",BK90="",AC90=""),"",_xlfn.IFS(
ROUND(IFERROR(VALUE(TRIM(SUBSTITUTE(BL90,CHAR(160),""))),0),2)&gt;
ROUND(IFERROR(VALUE(TRIM(SUBSTITUTE(AD90,CHAR(160),""))),0),2),
"KO : Le montant retenu TTC est supérieur au montant présenté TTC. Merci de revoir la ligne de dépense ou plafonner son montant.",
ROUND(IFERROR(VALUE(TRIM(SUBSTITUTE(BJ90,CHAR(160),""))),0),2)&gt;
ROUND(IFERROR(VALUE(TRIM(SUBSTITUTE(AB90,CHAR(160),""))),0),2),
"Attention : Le montant retenu HT est supérieur au montant HT présenté. Merci de revoir la ligne de dépense, plafonner son montant, ou justifier la reventillation HT / TVA.",
ROUND(IFERROR(VALUE(TRIM(SUBSTITUTE(BK90,CHAR(160),""))),0),2)&gt;
ROUND(IFERROR(VALUE(TRIM(SUBSTITUTE(AC90,CHAR(160),""))),0),2),
"Attention : Le montant TVA retenu est supérieur au montant TVA présenté. Merci de revoir la ligne de dépense, plafonner son montant, ou justifier la reventillation HT / TVA.",
ROUND(IFERROR(VALUE(TRIM(SUBSTITUTE(AD90,CHAR(160),""))),0),2)=0,
"",
ROUND(IFERROR(VALUE(TRIM(SUBSTITUTE(BL90,CHAR(160),""))),0),2)=
ROUND(IFERROR(VALUE(TRIM(SUBSTITUTE(AD90,CHAR(160),""))),0),2),
"OK",
ROUND(IFERROR(VALUE(TRIM(SUBSTITUTE(BL90,CHAR(160),""))),0),2)=0,
"Attention : Montant présenté entièrement rejeté.",
ROUND(IFERROR(VALUE(TRIM(SUBSTITUTE(BL90,CHAR(160),""))),0),2)&lt;
ROUND(IFERROR(VALUE(TRIM(SUBSTITUTE(AD90,CHAR(160),""))),0),2),
"Attention : Montant présenté partiellement rejeté.",
TRUE,""
))</f>
        <v/>
      </c>
      <c r="BP90" s="113" t="str">
        <f t="shared" si="85"/>
        <v/>
      </c>
      <c r="BQ90" s="113" t="str">
        <f t="shared" si="86"/>
        <v/>
      </c>
      <c r="BR90" s="33" t="str">
        <f t="shared" si="87"/>
        <v/>
      </c>
    </row>
    <row r="91" spans="1:70" ht="15" customHeight="1">
      <c r="A91" s="193">
        <v>83</v>
      </c>
      <c r="B91" s="7"/>
      <c r="C91" s="7"/>
      <c r="D91" s="19"/>
      <c r="E91" s="7"/>
      <c r="F91" s="7"/>
      <c r="G91" s="7"/>
      <c r="H91" s="7"/>
      <c r="I91" s="28"/>
      <c r="J91" s="7"/>
      <c r="K91" s="29"/>
      <c r="L91" s="678"/>
      <c r="M91" s="7"/>
      <c r="N91" s="672"/>
      <c r="O91" s="11"/>
      <c r="P91" s="107" t="str">
        <f t="shared" si="52"/>
        <v/>
      </c>
      <c r="Q91" s="699"/>
      <c r="R91" s="702"/>
      <c r="S91" s="684"/>
      <c r="T91" s="11"/>
      <c r="U91" s="107" t="str">
        <f t="shared" si="53"/>
        <v/>
      </c>
      <c r="V91" s="695"/>
      <c r="W91" s="685"/>
      <c r="X91" s="707"/>
      <c r="Y91" s="684"/>
      <c r="Z91" s="108" t="str">
        <f t="shared" si="54"/>
        <v/>
      </c>
      <c r="AA91" s="25"/>
      <c r="AB91" s="287" t="str" cm="1">
        <f t="array" ref="AB91">IF((_xlfn.IFS(TRIM(SUBSTITUTE(AA91,CHAR(160),""))="Devis 1",IFERROR(VALUE(TRIM(SUBSTITUTE(N91,CHAR(160),""))),0),TRIM(SUBSTITUTE(AA91,CHAR(160),""))="Devis 2",IFERROR(VALUE(TRIM(SUBSTITUTE(S91,CHAR(160),""))),0),TRIM(SUBSTITUTE(AA91,CHAR(160),""))="Devis 3",IFERROR(VALUE(TRIM(SUBSTITUTE(X91,CHAR(160),""))),0),TRUE,0)*IFERROR(VALUE(TRIM(SUBSTITUTE(D91,CHAR(160),""))),0))=0,"",_xlfn.IFS(TRIM(SUBSTITUTE(AA91,CHAR(160),""))="Devis 1",IFERROR(VALUE(TRIM(SUBSTITUTE(N91,CHAR(160),""))),0),TRIM(SUBSTITUTE(AA91,CHAR(160),""))="Devis 2",IFERROR(VALUE(TRIM(SUBSTITUTE(S91,CHAR(160),""))),0),TRIM(SUBSTITUTE(AA91,CHAR(160),""))="Devis 3",IFERROR(VALUE(TRIM(SUBSTITUTE(X91,CHAR(160),""))),0),TRUE,0)*IFERROR(VALUE(TRIM(SUBSTITUTE(D91,CHAR(160),""))),0))</f>
        <v/>
      </c>
      <c r="AC91" s="275" t="str" cm="1">
        <f t="array" ref="AC91">IF(_xlfn.IFS(TRIM(SUBSTITUTE(AA91,CHAR(160),""))="Devis 1",IFERROR(VALUE(TRIM(SUBSTITUTE(O91,CHAR(160),""))),0),TRIM(SUBSTITUTE(AA91,CHAR(160),""))="Devis 2",IFERROR(VALUE(TRIM(SUBSTITUTE(T91,CHAR(160),""))),0),TRIM(SUBSTITUTE(AA91,CHAR(160),""))="Devis 3",IFERROR(VALUE(TRIM(SUBSTITUTE(Y91,CHAR(160),""))),0),TRUE,0)*IFERROR(VALUE(TRIM(SUBSTITUTE(D91,CHAR(160),""))),0)=0,IF(AB91&lt;&gt;"",0,""),_xlfn.IFS(TRIM(SUBSTITUTE(AA91,CHAR(160),""))="Devis 1",IFERROR(VALUE(TRIM(SUBSTITUTE(O91,CHAR(160),""))),0),TRIM(SUBSTITUTE(AA91,CHAR(160),""))="Devis 2",IFERROR(VALUE(TRIM(SUBSTITUTE(T91,CHAR(160),""))),0),TRIM(SUBSTITUTE(AA91,CHAR(160),""))="Devis 3",IFERROR(VALUE(TRIM(SUBSTITUTE(Y91,CHAR(160),""))),0),TRUE,0)*IFERROR(VALUE(TRIM(SUBSTITUTE(D91,CHAR(160),""))),0))</f>
        <v/>
      </c>
      <c r="AD91" s="285" t="str">
        <f t="shared" si="88"/>
        <v/>
      </c>
      <c r="AE91" s="26"/>
      <c r="AF91" s="109" t="str">
        <f t="shared" si="55"/>
        <v/>
      </c>
      <c r="AG91" s="109" t="str">
        <f t="shared" si="56"/>
        <v/>
      </c>
      <c r="AH91" s="885" t="str">
        <f t="shared" si="57"/>
        <v/>
      </c>
      <c r="AI91" s="109" t="str">
        <f t="shared" si="58"/>
        <v/>
      </c>
      <c r="AJ91" s="109" t="str">
        <f t="shared" si="59"/>
        <v/>
      </c>
      <c r="AK91" s="109" t="str">
        <f t="shared" si="60"/>
        <v/>
      </c>
      <c r="AL91" s="109" t="str">
        <f t="shared" si="61"/>
        <v/>
      </c>
      <c r="AM91" s="109" t="str">
        <f t="shared" si="62"/>
        <v/>
      </c>
      <c r="AN91" s="109" t="str">
        <f t="shared" si="63"/>
        <v/>
      </c>
      <c r="AO91" s="109" t="str">
        <f t="shared" si="64"/>
        <v/>
      </c>
      <c r="AP91" s="754" t="str">
        <f t="shared" si="65"/>
        <v/>
      </c>
      <c r="AQ91" s="755" t="str">
        <f t="shared" si="66"/>
        <v/>
      </c>
      <c r="AR91" s="195" t="str">
        <f t="shared" si="67"/>
        <v/>
      </c>
      <c r="AS91" s="195" t="str">
        <f t="shared" si="68"/>
        <v/>
      </c>
      <c r="AT91" s="664" t="str">
        <f t="shared" si="69"/>
        <v/>
      </c>
      <c r="AU91" s="756" t="str">
        <f t="shared" si="70"/>
        <v/>
      </c>
      <c r="AV91" s="195" t="str">
        <f t="shared" si="71"/>
        <v/>
      </c>
      <c r="AW91" s="195" t="str">
        <f t="shared" si="72"/>
        <v/>
      </c>
      <c r="AX91" s="195" t="str">
        <f t="shared" si="73"/>
        <v/>
      </c>
      <c r="AY91" s="728" t="str">
        <f t="shared" si="74"/>
        <v/>
      </c>
      <c r="AZ91" s="195" t="str">
        <f t="shared" si="75"/>
        <v/>
      </c>
      <c r="BA91" s="195" t="str">
        <f t="shared" si="76"/>
        <v/>
      </c>
      <c r="BB91" s="195" t="str">
        <f t="shared" si="77"/>
        <v/>
      </c>
      <c r="BC91" s="195" t="str">
        <f t="shared" si="78"/>
        <v/>
      </c>
      <c r="BD91" s="112" t="str">
        <f t="shared" si="79"/>
        <v/>
      </c>
      <c r="BE91" s="109" t="str">
        <f t="shared" si="80"/>
        <v/>
      </c>
      <c r="BF91" s="602"/>
      <c r="BG91" s="113" t="str">
        <f t="shared" si="81"/>
        <v/>
      </c>
      <c r="BH91" s="113" t="str">
        <f t="shared" si="82"/>
        <v/>
      </c>
      <c r="BI91" s="113" t="str">
        <f t="shared" si="83"/>
        <v/>
      </c>
      <c r="BJ91" s="281" t="str" cm="1">
        <f t="array" ref="BJ91">IF($AH91="","",
_xlfn.IFS(
$BE91="Devis 1",
IF(ISBLANK(AR91),"",IFERROR(VALUE(TRIM(SUBSTITUTE(AR91,CHAR(160),""))),0)*IFERROR(VALUE(TRIM(SUBSTITUTE($AH91,CHAR(160),""))),0)),
$BE91="Devis 2",
IF(ISBLANK(AW91),"",IFERROR(VALUE(TRIM(SUBSTITUTE(AW91,CHAR(160),""))),0)*IFERROR(VALUE(TRIM(SUBSTITUTE($AH91,CHAR(160),""))),0)),
$BE91="Devis 3",
IF(ISBLANK(BB91),"",IFERROR(VALUE(TRIM(SUBSTITUTE(BB91,CHAR(160),""))),0)*IFERROR(VALUE(TRIM(SUBSTITUTE($AH91,CHAR(160),""))),0)),
TRUE,0
)
)</f>
        <v/>
      </c>
      <c r="BK91" s="281" t="str" cm="1">
        <f t="array" ref="BK91">IF($AH91="","",
_xlfn.IFS(
$BE91="Devis 1",
IF(ISBLANK(AS91),"",IFERROR(VALUE(TRIM(SUBSTITUTE(AS91,CHAR(160),""))),0)*IFERROR(VALUE(TRIM(SUBSTITUTE($AH91,CHAR(160),""))),0)),
$BE91="Devis 2",
IF(ISBLANK(AX91),"",IFERROR(VALUE(TRIM(SUBSTITUTE(AX91,CHAR(160),""))),0)*IFERROR(VALUE(TRIM(SUBSTITUTE($AH91,CHAR(160),""))),0)),
$BE91="Devis 3",
IF(ISBLANK(BC91),"",IFERROR(VALUE(TRIM(SUBSTITUTE(BC91,CHAR(160),""))),0)*IFERROR(VALUE(TRIM(SUBSTITUTE($AH91,CHAR(160),""))),0)),
TRUE,0
)
)</f>
        <v/>
      </c>
      <c r="BL91" s="281" t="str">
        <f t="shared" si="84"/>
        <v/>
      </c>
      <c r="BM91" s="602"/>
      <c r="BN91" s="23" t="str" cm="1">
        <f t="array" ref="BN91">IF(OR(BL91="",BI91="",BJ91="",BG91="",BK91="",BH91=""),"",_xlfn.IFS(
ROUND(IFERROR(VALUE(TRIM(SUBSTITUTE(BL91,CHAR(160),""))),0),2)&gt;
ROUND(IFERROR(VALUE(TRIM(SUBSTITUTE(BI91,CHAR(160),""))),0),2),
"KO : Le montant retenu TTC est supérieur au montant raisonnable TTC. Merci de revoir la ligne de dépense ou plafonner son montant.",
ROUND(IFERROR(VALUE(TRIM(SUBSTITUTE(BJ91,CHAR(160),""))),0),2)&gt;
ROUND(IFERROR(VALUE(TRIM(SUBSTITUTE(BG91,CHAR(160),""))),0),2),
"Attention : Le montant retenu HT est supérieur au montant HT raisonnable. Merci de revoir la ligne de dépense, plafonner son montant, ou justifier la reventillation HT / TVA.",
ROUND(IFERROR(VALUE(TRIM(SUBSTITUTE(BK91,CHAR(160),""))),0),2)&gt;
ROUND(IFERROR(VALUE(TRIM(SUBSTITUTE(BH91,CHAR(160),""))),0),2),
"Attention : Le montant TVA retenu est supérieur au montant TVA raisonnable. Merci de revoir la ligne de dépense, plafonner son montant, ou justifier la reventillation HT / TVA.",
ROUND(IFERROR(VALUE(TRIM(SUBSTITUTE(BL91,CHAR(160),""))),0),2)&gt;
ROUND(IFERROR(VALUE(TRIM(SUBSTITUTE(MIN(P91,U91,Z91),CHAR(160),""))),0),2),
"Attention : Le devis retenu n'est pas le moins cher. Une justification de la part du porteur est nécessaire.",
ROUND(IFERROR(VALUE(TRIM(SUBSTITUTE(BL91,CHAR(160),""))),0),2)=0,
"Attention : montant présenté entièrement écarté",
ROUND(IFERROR(VALUE(TRIM(SUBSTITUTE(BI91,CHAR(160),""))),0),2)=
ROUND(IFERROR(VALUE(TRIM(SUBSTITUTE(BL91,CHAR(160),""))),0),2),
"OK",
ROUND(IFERROR(VALUE(TRIM(SUBSTITUTE(BI91,CHAR(160),""))),0),2)&gt;
ROUND(IFERROR(VALUE(TRIM(SUBSTITUTE(BL91,CHAR(160),""))),0),2),
" OK : Montant instruit inférieur au montant raisonnable.",
TRUE,""
))</f>
        <v/>
      </c>
      <c r="BO91" s="23" t="str" cm="1">
        <f t="array" ref="BO91">IF(OR(BL91="",AD91="",BJ91="",AB91="",BK91="",AC91=""),"",_xlfn.IFS(
ROUND(IFERROR(VALUE(TRIM(SUBSTITUTE(BL91,CHAR(160),""))),0),2)&gt;
ROUND(IFERROR(VALUE(TRIM(SUBSTITUTE(AD91,CHAR(160),""))),0),2),
"KO : Le montant retenu TTC est supérieur au montant présenté TTC. Merci de revoir la ligne de dépense ou plafonner son montant.",
ROUND(IFERROR(VALUE(TRIM(SUBSTITUTE(BJ91,CHAR(160),""))),0),2)&gt;
ROUND(IFERROR(VALUE(TRIM(SUBSTITUTE(AB91,CHAR(160),""))),0),2),
"Attention : Le montant retenu HT est supérieur au montant HT présenté. Merci de revoir la ligne de dépense, plafonner son montant, ou justifier la reventillation HT / TVA.",
ROUND(IFERROR(VALUE(TRIM(SUBSTITUTE(BK91,CHAR(160),""))),0),2)&gt;
ROUND(IFERROR(VALUE(TRIM(SUBSTITUTE(AC91,CHAR(160),""))),0),2),
"Attention : Le montant TVA retenu est supérieur au montant TVA présenté. Merci de revoir la ligne de dépense, plafonner son montant, ou justifier la reventillation HT / TVA.",
ROUND(IFERROR(VALUE(TRIM(SUBSTITUTE(AD91,CHAR(160),""))),0),2)=0,
"",
ROUND(IFERROR(VALUE(TRIM(SUBSTITUTE(BL91,CHAR(160),""))),0),2)=
ROUND(IFERROR(VALUE(TRIM(SUBSTITUTE(AD91,CHAR(160),""))),0),2),
"OK",
ROUND(IFERROR(VALUE(TRIM(SUBSTITUTE(BL91,CHAR(160),""))),0),2)=0,
"Attention : Montant présenté entièrement rejeté.",
ROUND(IFERROR(VALUE(TRIM(SUBSTITUTE(BL91,CHAR(160),""))),0),2)&lt;
ROUND(IFERROR(VALUE(TRIM(SUBSTITUTE(AD91,CHAR(160),""))),0),2),
"Attention : Montant présenté partiellement rejeté.",
TRUE,""
))</f>
        <v/>
      </c>
      <c r="BP91" s="113" t="str">
        <f t="shared" si="85"/>
        <v/>
      </c>
      <c r="BQ91" s="113" t="str">
        <f t="shared" si="86"/>
        <v/>
      </c>
      <c r="BR91" s="33" t="str">
        <f t="shared" si="87"/>
        <v/>
      </c>
    </row>
    <row r="92" spans="1:70" ht="15" customHeight="1">
      <c r="A92" s="193">
        <v>84</v>
      </c>
      <c r="B92" s="7"/>
      <c r="C92" s="7"/>
      <c r="D92" s="19"/>
      <c r="E92" s="7"/>
      <c r="F92" s="7"/>
      <c r="G92" s="7"/>
      <c r="H92" s="7"/>
      <c r="I92" s="28"/>
      <c r="J92" s="7"/>
      <c r="K92" s="29"/>
      <c r="L92" s="678"/>
      <c r="M92" s="7"/>
      <c r="N92" s="672"/>
      <c r="O92" s="11"/>
      <c r="P92" s="107" t="str">
        <f t="shared" si="52"/>
        <v/>
      </c>
      <c r="Q92" s="699"/>
      <c r="R92" s="702"/>
      <c r="S92" s="684"/>
      <c r="T92" s="11"/>
      <c r="U92" s="107" t="str">
        <f t="shared" si="53"/>
        <v/>
      </c>
      <c r="V92" s="695"/>
      <c r="W92" s="685"/>
      <c r="X92" s="707"/>
      <c r="Y92" s="684"/>
      <c r="Z92" s="108" t="str">
        <f t="shared" si="54"/>
        <v/>
      </c>
      <c r="AA92" s="25"/>
      <c r="AB92" s="287" t="str" cm="1">
        <f t="array" ref="AB92">IF((_xlfn.IFS(TRIM(SUBSTITUTE(AA92,CHAR(160),""))="Devis 1",IFERROR(VALUE(TRIM(SUBSTITUTE(N92,CHAR(160),""))),0),TRIM(SUBSTITUTE(AA92,CHAR(160),""))="Devis 2",IFERROR(VALUE(TRIM(SUBSTITUTE(S92,CHAR(160),""))),0),TRIM(SUBSTITUTE(AA92,CHAR(160),""))="Devis 3",IFERROR(VALUE(TRIM(SUBSTITUTE(X92,CHAR(160),""))),0),TRUE,0)*IFERROR(VALUE(TRIM(SUBSTITUTE(D92,CHAR(160),""))),0))=0,"",_xlfn.IFS(TRIM(SUBSTITUTE(AA92,CHAR(160),""))="Devis 1",IFERROR(VALUE(TRIM(SUBSTITUTE(N92,CHAR(160),""))),0),TRIM(SUBSTITUTE(AA92,CHAR(160),""))="Devis 2",IFERROR(VALUE(TRIM(SUBSTITUTE(S92,CHAR(160),""))),0),TRIM(SUBSTITUTE(AA92,CHAR(160),""))="Devis 3",IFERROR(VALUE(TRIM(SUBSTITUTE(X92,CHAR(160),""))),0),TRUE,0)*IFERROR(VALUE(TRIM(SUBSTITUTE(D92,CHAR(160),""))),0))</f>
        <v/>
      </c>
      <c r="AC92" s="275" t="str" cm="1">
        <f t="array" ref="AC92">IF(_xlfn.IFS(TRIM(SUBSTITUTE(AA92,CHAR(160),""))="Devis 1",IFERROR(VALUE(TRIM(SUBSTITUTE(O92,CHAR(160),""))),0),TRIM(SUBSTITUTE(AA92,CHAR(160),""))="Devis 2",IFERROR(VALUE(TRIM(SUBSTITUTE(T92,CHAR(160),""))),0),TRIM(SUBSTITUTE(AA92,CHAR(160),""))="Devis 3",IFERROR(VALUE(TRIM(SUBSTITUTE(Y92,CHAR(160),""))),0),TRUE,0)*IFERROR(VALUE(TRIM(SUBSTITUTE(D92,CHAR(160),""))),0)=0,IF(AB92&lt;&gt;"",0,""),_xlfn.IFS(TRIM(SUBSTITUTE(AA92,CHAR(160),""))="Devis 1",IFERROR(VALUE(TRIM(SUBSTITUTE(O92,CHAR(160),""))),0),TRIM(SUBSTITUTE(AA92,CHAR(160),""))="Devis 2",IFERROR(VALUE(TRIM(SUBSTITUTE(T92,CHAR(160),""))),0),TRIM(SUBSTITUTE(AA92,CHAR(160),""))="Devis 3",IFERROR(VALUE(TRIM(SUBSTITUTE(Y92,CHAR(160),""))),0),TRUE,0)*IFERROR(VALUE(TRIM(SUBSTITUTE(D92,CHAR(160),""))),0))</f>
        <v/>
      </c>
      <c r="AD92" s="285" t="str">
        <f t="shared" si="88"/>
        <v/>
      </c>
      <c r="AE92" s="26"/>
      <c r="AF92" s="109" t="str">
        <f t="shared" si="55"/>
        <v/>
      </c>
      <c r="AG92" s="109" t="str">
        <f t="shared" si="56"/>
        <v/>
      </c>
      <c r="AH92" s="885" t="str">
        <f t="shared" si="57"/>
        <v/>
      </c>
      <c r="AI92" s="109" t="str">
        <f t="shared" si="58"/>
        <v/>
      </c>
      <c r="AJ92" s="109" t="str">
        <f t="shared" si="59"/>
        <v/>
      </c>
      <c r="AK92" s="109" t="str">
        <f t="shared" si="60"/>
        <v/>
      </c>
      <c r="AL92" s="109" t="str">
        <f t="shared" si="61"/>
        <v/>
      </c>
      <c r="AM92" s="109" t="str">
        <f t="shared" si="62"/>
        <v/>
      </c>
      <c r="AN92" s="109" t="str">
        <f t="shared" si="63"/>
        <v/>
      </c>
      <c r="AO92" s="109" t="str">
        <f t="shared" si="64"/>
        <v/>
      </c>
      <c r="AP92" s="754" t="str">
        <f t="shared" si="65"/>
        <v/>
      </c>
      <c r="AQ92" s="755" t="str">
        <f t="shared" si="66"/>
        <v/>
      </c>
      <c r="AR92" s="195" t="str">
        <f t="shared" si="67"/>
        <v/>
      </c>
      <c r="AS92" s="195" t="str">
        <f t="shared" si="68"/>
        <v/>
      </c>
      <c r="AT92" s="664" t="str">
        <f t="shared" si="69"/>
        <v/>
      </c>
      <c r="AU92" s="756" t="str">
        <f t="shared" si="70"/>
        <v/>
      </c>
      <c r="AV92" s="195" t="str">
        <f t="shared" si="71"/>
        <v/>
      </c>
      <c r="AW92" s="195" t="str">
        <f t="shared" si="72"/>
        <v/>
      </c>
      <c r="AX92" s="195" t="str">
        <f t="shared" si="73"/>
        <v/>
      </c>
      <c r="AY92" s="728" t="str">
        <f t="shared" si="74"/>
        <v/>
      </c>
      <c r="AZ92" s="195" t="str">
        <f t="shared" si="75"/>
        <v/>
      </c>
      <c r="BA92" s="195" t="str">
        <f t="shared" si="76"/>
        <v/>
      </c>
      <c r="BB92" s="195" t="str">
        <f t="shared" si="77"/>
        <v/>
      </c>
      <c r="BC92" s="195" t="str">
        <f t="shared" si="78"/>
        <v/>
      </c>
      <c r="BD92" s="112" t="str">
        <f t="shared" si="79"/>
        <v/>
      </c>
      <c r="BE92" s="109" t="str">
        <f t="shared" si="80"/>
        <v/>
      </c>
      <c r="BF92" s="602"/>
      <c r="BG92" s="113" t="str">
        <f t="shared" si="81"/>
        <v/>
      </c>
      <c r="BH92" s="113" t="str">
        <f t="shared" si="82"/>
        <v/>
      </c>
      <c r="BI92" s="113" t="str">
        <f t="shared" si="83"/>
        <v/>
      </c>
      <c r="BJ92" s="281" t="str" cm="1">
        <f t="array" ref="BJ92">IF($AH92="","",
_xlfn.IFS(
$BE92="Devis 1",
IF(ISBLANK(AR92),"",IFERROR(VALUE(TRIM(SUBSTITUTE(AR92,CHAR(160),""))),0)*IFERROR(VALUE(TRIM(SUBSTITUTE($AH92,CHAR(160),""))),0)),
$BE92="Devis 2",
IF(ISBLANK(AW92),"",IFERROR(VALUE(TRIM(SUBSTITUTE(AW92,CHAR(160),""))),0)*IFERROR(VALUE(TRIM(SUBSTITUTE($AH92,CHAR(160),""))),0)),
$BE92="Devis 3",
IF(ISBLANK(BB92),"",IFERROR(VALUE(TRIM(SUBSTITUTE(BB92,CHAR(160),""))),0)*IFERROR(VALUE(TRIM(SUBSTITUTE($AH92,CHAR(160),""))),0)),
TRUE,0
)
)</f>
        <v/>
      </c>
      <c r="BK92" s="281" t="str" cm="1">
        <f t="array" ref="BK92">IF($AH92="","",
_xlfn.IFS(
$BE92="Devis 1",
IF(ISBLANK(AS92),"",IFERROR(VALUE(TRIM(SUBSTITUTE(AS92,CHAR(160),""))),0)*IFERROR(VALUE(TRIM(SUBSTITUTE($AH92,CHAR(160),""))),0)),
$BE92="Devis 2",
IF(ISBLANK(AX92),"",IFERROR(VALUE(TRIM(SUBSTITUTE(AX92,CHAR(160),""))),0)*IFERROR(VALUE(TRIM(SUBSTITUTE($AH92,CHAR(160),""))),0)),
$BE92="Devis 3",
IF(ISBLANK(BC92),"",IFERROR(VALUE(TRIM(SUBSTITUTE(BC92,CHAR(160),""))),0)*IFERROR(VALUE(TRIM(SUBSTITUTE($AH92,CHAR(160),""))),0)),
TRUE,0
)
)</f>
        <v/>
      </c>
      <c r="BL92" s="281" t="str">
        <f t="shared" si="84"/>
        <v/>
      </c>
      <c r="BM92" s="602"/>
      <c r="BN92" s="23" t="str" cm="1">
        <f t="array" ref="BN92">IF(OR(BL92="",BI92="",BJ92="",BG92="",BK92="",BH92=""),"",_xlfn.IFS(
ROUND(IFERROR(VALUE(TRIM(SUBSTITUTE(BL92,CHAR(160),""))),0),2)&gt;
ROUND(IFERROR(VALUE(TRIM(SUBSTITUTE(BI92,CHAR(160),""))),0),2),
"KO : Le montant retenu TTC est supérieur au montant raisonnable TTC. Merci de revoir la ligne de dépense ou plafonner son montant.",
ROUND(IFERROR(VALUE(TRIM(SUBSTITUTE(BJ92,CHAR(160),""))),0),2)&gt;
ROUND(IFERROR(VALUE(TRIM(SUBSTITUTE(BG92,CHAR(160),""))),0),2),
"Attention : Le montant retenu HT est supérieur au montant HT raisonnable. Merci de revoir la ligne de dépense, plafonner son montant, ou justifier la reventillation HT / TVA.",
ROUND(IFERROR(VALUE(TRIM(SUBSTITUTE(BK92,CHAR(160),""))),0),2)&gt;
ROUND(IFERROR(VALUE(TRIM(SUBSTITUTE(BH92,CHAR(160),""))),0),2),
"Attention : Le montant TVA retenu est supérieur au montant TVA raisonnable. Merci de revoir la ligne de dépense, plafonner son montant, ou justifier la reventillation HT / TVA.",
ROUND(IFERROR(VALUE(TRIM(SUBSTITUTE(BL92,CHAR(160),""))),0),2)&gt;
ROUND(IFERROR(VALUE(TRIM(SUBSTITUTE(MIN(P92,U92,Z92),CHAR(160),""))),0),2),
"Attention : Le devis retenu n'est pas le moins cher. Une justification de la part du porteur est nécessaire.",
ROUND(IFERROR(VALUE(TRIM(SUBSTITUTE(BL92,CHAR(160),""))),0),2)=0,
"Attention : montant présenté entièrement écarté",
ROUND(IFERROR(VALUE(TRIM(SUBSTITUTE(BI92,CHAR(160),""))),0),2)=
ROUND(IFERROR(VALUE(TRIM(SUBSTITUTE(BL92,CHAR(160),""))),0),2),
"OK",
ROUND(IFERROR(VALUE(TRIM(SUBSTITUTE(BI92,CHAR(160),""))),0),2)&gt;
ROUND(IFERROR(VALUE(TRIM(SUBSTITUTE(BL92,CHAR(160),""))),0),2),
" OK : Montant instruit inférieur au montant raisonnable.",
TRUE,""
))</f>
        <v/>
      </c>
      <c r="BO92" s="23" t="str" cm="1">
        <f t="array" ref="BO92">IF(OR(BL92="",AD92="",BJ92="",AB92="",BK92="",AC92=""),"",_xlfn.IFS(
ROUND(IFERROR(VALUE(TRIM(SUBSTITUTE(BL92,CHAR(160),""))),0),2)&gt;
ROUND(IFERROR(VALUE(TRIM(SUBSTITUTE(AD92,CHAR(160),""))),0),2),
"KO : Le montant retenu TTC est supérieur au montant présenté TTC. Merci de revoir la ligne de dépense ou plafonner son montant.",
ROUND(IFERROR(VALUE(TRIM(SUBSTITUTE(BJ92,CHAR(160),""))),0),2)&gt;
ROUND(IFERROR(VALUE(TRIM(SUBSTITUTE(AB92,CHAR(160),""))),0),2),
"Attention : Le montant retenu HT est supérieur au montant HT présenté. Merci de revoir la ligne de dépense, plafonner son montant, ou justifier la reventillation HT / TVA.",
ROUND(IFERROR(VALUE(TRIM(SUBSTITUTE(BK92,CHAR(160),""))),0),2)&gt;
ROUND(IFERROR(VALUE(TRIM(SUBSTITUTE(AC92,CHAR(160),""))),0),2),
"Attention : Le montant TVA retenu est supérieur au montant TVA présenté. Merci de revoir la ligne de dépense, plafonner son montant, ou justifier la reventillation HT / TVA.",
ROUND(IFERROR(VALUE(TRIM(SUBSTITUTE(AD92,CHAR(160),""))),0),2)=0,
"",
ROUND(IFERROR(VALUE(TRIM(SUBSTITUTE(BL92,CHAR(160),""))),0),2)=
ROUND(IFERROR(VALUE(TRIM(SUBSTITUTE(AD92,CHAR(160),""))),0),2),
"OK",
ROUND(IFERROR(VALUE(TRIM(SUBSTITUTE(BL92,CHAR(160),""))),0),2)=0,
"Attention : Montant présenté entièrement rejeté.",
ROUND(IFERROR(VALUE(TRIM(SUBSTITUTE(BL92,CHAR(160),""))),0),2)&lt;
ROUND(IFERROR(VALUE(TRIM(SUBSTITUTE(AD92,CHAR(160),""))),0),2),
"Attention : Montant présenté partiellement rejeté.",
TRUE,""
))</f>
        <v/>
      </c>
      <c r="BP92" s="113" t="str">
        <f t="shared" si="85"/>
        <v/>
      </c>
      <c r="BQ92" s="113" t="str">
        <f t="shared" si="86"/>
        <v/>
      </c>
      <c r="BR92" s="33" t="str">
        <f t="shared" si="87"/>
        <v/>
      </c>
    </row>
    <row r="93" spans="1:70" ht="15" customHeight="1">
      <c r="A93" s="193">
        <v>85</v>
      </c>
      <c r="B93" s="7"/>
      <c r="C93" s="7"/>
      <c r="D93" s="19"/>
      <c r="E93" s="7"/>
      <c r="F93" s="7"/>
      <c r="G93" s="7"/>
      <c r="H93" s="7"/>
      <c r="I93" s="28"/>
      <c r="J93" s="7"/>
      <c r="K93" s="29"/>
      <c r="L93" s="678"/>
      <c r="M93" s="7"/>
      <c r="N93" s="672"/>
      <c r="O93" s="11"/>
      <c r="P93" s="107" t="str">
        <f t="shared" si="52"/>
        <v/>
      </c>
      <c r="Q93" s="699"/>
      <c r="R93" s="702"/>
      <c r="S93" s="684"/>
      <c r="T93" s="11"/>
      <c r="U93" s="107" t="str">
        <f t="shared" si="53"/>
        <v/>
      </c>
      <c r="V93" s="695"/>
      <c r="W93" s="685"/>
      <c r="X93" s="707"/>
      <c r="Y93" s="684"/>
      <c r="Z93" s="108" t="str">
        <f t="shared" si="54"/>
        <v/>
      </c>
      <c r="AA93" s="25"/>
      <c r="AB93" s="287" t="str" cm="1">
        <f t="array" ref="AB93">IF((_xlfn.IFS(TRIM(SUBSTITUTE(AA93,CHAR(160),""))="Devis 1",IFERROR(VALUE(TRIM(SUBSTITUTE(N93,CHAR(160),""))),0),TRIM(SUBSTITUTE(AA93,CHAR(160),""))="Devis 2",IFERROR(VALUE(TRIM(SUBSTITUTE(S93,CHAR(160),""))),0),TRIM(SUBSTITUTE(AA93,CHAR(160),""))="Devis 3",IFERROR(VALUE(TRIM(SUBSTITUTE(X93,CHAR(160),""))),0),TRUE,0)*IFERROR(VALUE(TRIM(SUBSTITUTE(D93,CHAR(160),""))),0))=0,"",_xlfn.IFS(TRIM(SUBSTITUTE(AA93,CHAR(160),""))="Devis 1",IFERROR(VALUE(TRIM(SUBSTITUTE(N93,CHAR(160),""))),0),TRIM(SUBSTITUTE(AA93,CHAR(160),""))="Devis 2",IFERROR(VALUE(TRIM(SUBSTITUTE(S93,CHAR(160),""))),0),TRIM(SUBSTITUTE(AA93,CHAR(160),""))="Devis 3",IFERROR(VALUE(TRIM(SUBSTITUTE(X93,CHAR(160),""))),0),TRUE,0)*IFERROR(VALUE(TRIM(SUBSTITUTE(D93,CHAR(160),""))),0))</f>
        <v/>
      </c>
      <c r="AC93" s="275" t="str" cm="1">
        <f t="array" ref="AC93">IF(_xlfn.IFS(TRIM(SUBSTITUTE(AA93,CHAR(160),""))="Devis 1",IFERROR(VALUE(TRIM(SUBSTITUTE(O93,CHAR(160),""))),0),TRIM(SUBSTITUTE(AA93,CHAR(160),""))="Devis 2",IFERROR(VALUE(TRIM(SUBSTITUTE(T93,CHAR(160),""))),0),TRIM(SUBSTITUTE(AA93,CHAR(160),""))="Devis 3",IFERROR(VALUE(TRIM(SUBSTITUTE(Y93,CHAR(160),""))),0),TRUE,0)*IFERROR(VALUE(TRIM(SUBSTITUTE(D93,CHAR(160),""))),0)=0,IF(AB93&lt;&gt;"",0,""),_xlfn.IFS(TRIM(SUBSTITUTE(AA93,CHAR(160),""))="Devis 1",IFERROR(VALUE(TRIM(SUBSTITUTE(O93,CHAR(160),""))),0),TRIM(SUBSTITUTE(AA93,CHAR(160),""))="Devis 2",IFERROR(VALUE(TRIM(SUBSTITUTE(T93,CHAR(160),""))),0),TRIM(SUBSTITUTE(AA93,CHAR(160),""))="Devis 3",IFERROR(VALUE(TRIM(SUBSTITUTE(Y93,CHAR(160),""))),0),TRUE,0)*IFERROR(VALUE(TRIM(SUBSTITUTE(D93,CHAR(160),""))),0))</f>
        <v/>
      </c>
      <c r="AD93" s="285" t="str">
        <f t="shared" si="88"/>
        <v/>
      </c>
      <c r="AE93" s="26"/>
      <c r="AF93" s="109" t="str">
        <f t="shared" si="55"/>
        <v/>
      </c>
      <c r="AG93" s="109" t="str">
        <f t="shared" si="56"/>
        <v/>
      </c>
      <c r="AH93" s="885" t="str">
        <f t="shared" si="57"/>
        <v/>
      </c>
      <c r="AI93" s="109" t="str">
        <f t="shared" si="58"/>
        <v/>
      </c>
      <c r="AJ93" s="109" t="str">
        <f t="shared" si="59"/>
        <v/>
      </c>
      <c r="AK93" s="109" t="str">
        <f t="shared" si="60"/>
        <v/>
      </c>
      <c r="AL93" s="109" t="str">
        <f t="shared" si="61"/>
        <v/>
      </c>
      <c r="AM93" s="109" t="str">
        <f t="shared" si="62"/>
        <v/>
      </c>
      <c r="AN93" s="109" t="str">
        <f t="shared" si="63"/>
        <v/>
      </c>
      <c r="AO93" s="109" t="str">
        <f t="shared" si="64"/>
        <v/>
      </c>
      <c r="AP93" s="754" t="str">
        <f t="shared" si="65"/>
        <v/>
      </c>
      <c r="AQ93" s="755" t="str">
        <f t="shared" si="66"/>
        <v/>
      </c>
      <c r="AR93" s="195" t="str">
        <f t="shared" si="67"/>
        <v/>
      </c>
      <c r="AS93" s="195" t="str">
        <f t="shared" si="68"/>
        <v/>
      </c>
      <c r="AT93" s="664" t="str">
        <f t="shared" si="69"/>
        <v/>
      </c>
      <c r="AU93" s="756" t="str">
        <f t="shared" si="70"/>
        <v/>
      </c>
      <c r="AV93" s="195" t="str">
        <f t="shared" si="71"/>
        <v/>
      </c>
      <c r="AW93" s="195" t="str">
        <f t="shared" si="72"/>
        <v/>
      </c>
      <c r="AX93" s="195" t="str">
        <f t="shared" si="73"/>
        <v/>
      </c>
      <c r="AY93" s="728" t="str">
        <f t="shared" si="74"/>
        <v/>
      </c>
      <c r="AZ93" s="195" t="str">
        <f t="shared" si="75"/>
        <v/>
      </c>
      <c r="BA93" s="195" t="str">
        <f t="shared" si="76"/>
        <v/>
      </c>
      <c r="BB93" s="195" t="str">
        <f t="shared" si="77"/>
        <v/>
      </c>
      <c r="BC93" s="195" t="str">
        <f t="shared" si="78"/>
        <v/>
      </c>
      <c r="BD93" s="112" t="str">
        <f t="shared" si="79"/>
        <v/>
      </c>
      <c r="BE93" s="109" t="str">
        <f t="shared" si="80"/>
        <v/>
      </c>
      <c r="BF93" s="602"/>
      <c r="BG93" s="113" t="str">
        <f t="shared" si="81"/>
        <v/>
      </c>
      <c r="BH93" s="113" t="str">
        <f t="shared" si="82"/>
        <v/>
      </c>
      <c r="BI93" s="113" t="str">
        <f t="shared" si="83"/>
        <v/>
      </c>
      <c r="BJ93" s="281" t="str" cm="1">
        <f t="array" ref="BJ93">IF($AH93="","",
_xlfn.IFS(
$BE93="Devis 1",
IF(ISBLANK(AR93),"",IFERROR(VALUE(TRIM(SUBSTITUTE(AR93,CHAR(160),""))),0)*IFERROR(VALUE(TRIM(SUBSTITUTE($AH93,CHAR(160),""))),0)),
$BE93="Devis 2",
IF(ISBLANK(AW93),"",IFERROR(VALUE(TRIM(SUBSTITUTE(AW93,CHAR(160),""))),0)*IFERROR(VALUE(TRIM(SUBSTITUTE($AH93,CHAR(160),""))),0)),
$BE93="Devis 3",
IF(ISBLANK(BB93),"",IFERROR(VALUE(TRIM(SUBSTITUTE(BB93,CHAR(160),""))),0)*IFERROR(VALUE(TRIM(SUBSTITUTE($AH93,CHAR(160),""))),0)),
TRUE,0
)
)</f>
        <v/>
      </c>
      <c r="BK93" s="281" t="str" cm="1">
        <f t="array" ref="BK93">IF($AH93="","",
_xlfn.IFS(
$BE93="Devis 1",
IF(ISBLANK(AS93),"",IFERROR(VALUE(TRIM(SUBSTITUTE(AS93,CHAR(160),""))),0)*IFERROR(VALUE(TRIM(SUBSTITUTE($AH93,CHAR(160),""))),0)),
$BE93="Devis 2",
IF(ISBLANK(AX93),"",IFERROR(VALUE(TRIM(SUBSTITUTE(AX93,CHAR(160),""))),0)*IFERROR(VALUE(TRIM(SUBSTITUTE($AH93,CHAR(160),""))),0)),
$BE93="Devis 3",
IF(ISBLANK(BC93),"",IFERROR(VALUE(TRIM(SUBSTITUTE(BC93,CHAR(160),""))),0)*IFERROR(VALUE(TRIM(SUBSTITUTE($AH93,CHAR(160),""))),0)),
TRUE,0
)
)</f>
        <v/>
      </c>
      <c r="BL93" s="281" t="str">
        <f t="shared" si="84"/>
        <v/>
      </c>
      <c r="BM93" s="602"/>
      <c r="BN93" s="23" t="str" cm="1">
        <f t="array" ref="BN93">IF(OR(BL93="",BI93="",BJ93="",BG93="",BK93="",BH93=""),"",_xlfn.IFS(
ROUND(IFERROR(VALUE(TRIM(SUBSTITUTE(BL93,CHAR(160),""))),0),2)&gt;
ROUND(IFERROR(VALUE(TRIM(SUBSTITUTE(BI93,CHAR(160),""))),0),2),
"KO : Le montant retenu TTC est supérieur au montant raisonnable TTC. Merci de revoir la ligne de dépense ou plafonner son montant.",
ROUND(IFERROR(VALUE(TRIM(SUBSTITUTE(BJ93,CHAR(160),""))),0),2)&gt;
ROUND(IFERROR(VALUE(TRIM(SUBSTITUTE(BG93,CHAR(160),""))),0),2),
"Attention : Le montant retenu HT est supérieur au montant HT raisonnable. Merci de revoir la ligne de dépense, plafonner son montant, ou justifier la reventillation HT / TVA.",
ROUND(IFERROR(VALUE(TRIM(SUBSTITUTE(BK93,CHAR(160),""))),0),2)&gt;
ROUND(IFERROR(VALUE(TRIM(SUBSTITUTE(BH93,CHAR(160),""))),0),2),
"Attention : Le montant TVA retenu est supérieur au montant TVA raisonnable. Merci de revoir la ligne de dépense, plafonner son montant, ou justifier la reventillation HT / TVA.",
ROUND(IFERROR(VALUE(TRIM(SUBSTITUTE(BL93,CHAR(160),""))),0),2)&gt;
ROUND(IFERROR(VALUE(TRIM(SUBSTITUTE(MIN(P93,U93,Z93),CHAR(160),""))),0),2),
"Attention : Le devis retenu n'est pas le moins cher. Une justification de la part du porteur est nécessaire.",
ROUND(IFERROR(VALUE(TRIM(SUBSTITUTE(BL93,CHAR(160),""))),0),2)=0,
"Attention : montant présenté entièrement écarté",
ROUND(IFERROR(VALUE(TRIM(SUBSTITUTE(BI93,CHAR(160),""))),0),2)=
ROUND(IFERROR(VALUE(TRIM(SUBSTITUTE(BL93,CHAR(160),""))),0),2),
"OK",
ROUND(IFERROR(VALUE(TRIM(SUBSTITUTE(BI93,CHAR(160),""))),0),2)&gt;
ROUND(IFERROR(VALUE(TRIM(SUBSTITUTE(BL93,CHAR(160),""))),0),2),
" OK : Montant instruit inférieur au montant raisonnable.",
TRUE,""
))</f>
        <v/>
      </c>
      <c r="BO93" s="23" t="str" cm="1">
        <f t="array" ref="BO93">IF(OR(BL93="",AD93="",BJ93="",AB93="",BK93="",AC93=""),"",_xlfn.IFS(
ROUND(IFERROR(VALUE(TRIM(SUBSTITUTE(BL93,CHAR(160),""))),0),2)&gt;
ROUND(IFERROR(VALUE(TRIM(SUBSTITUTE(AD93,CHAR(160),""))),0),2),
"KO : Le montant retenu TTC est supérieur au montant présenté TTC. Merci de revoir la ligne de dépense ou plafonner son montant.",
ROUND(IFERROR(VALUE(TRIM(SUBSTITUTE(BJ93,CHAR(160),""))),0),2)&gt;
ROUND(IFERROR(VALUE(TRIM(SUBSTITUTE(AB93,CHAR(160),""))),0),2),
"Attention : Le montant retenu HT est supérieur au montant HT présenté. Merci de revoir la ligne de dépense, plafonner son montant, ou justifier la reventillation HT / TVA.",
ROUND(IFERROR(VALUE(TRIM(SUBSTITUTE(BK93,CHAR(160),""))),0),2)&gt;
ROUND(IFERROR(VALUE(TRIM(SUBSTITUTE(AC93,CHAR(160),""))),0),2),
"Attention : Le montant TVA retenu est supérieur au montant TVA présenté. Merci de revoir la ligne de dépense, plafonner son montant, ou justifier la reventillation HT / TVA.",
ROUND(IFERROR(VALUE(TRIM(SUBSTITUTE(AD93,CHAR(160),""))),0),2)=0,
"",
ROUND(IFERROR(VALUE(TRIM(SUBSTITUTE(BL93,CHAR(160),""))),0),2)=
ROUND(IFERROR(VALUE(TRIM(SUBSTITUTE(AD93,CHAR(160),""))),0),2),
"OK",
ROUND(IFERROR(VALUE(TRIM(SUBSTITUTE(BL93,CHAR(160),""))),0),2)=0,
"Attention : Montant présenté entièrement rejeté.",
ROUND(IFERROR(VALUE(TRIM(SUBSTITUTE(BL93,CHAR(160),""))),0),2)&lt;
ROUND(IFERROR(VALUE(TRIM(SUBSTITUTE(AD93,CHAR(160),""))),0),2),
"Attention : Montant présenté partiellement rejeté.",
TRUE,""
))</f>
        <v/>
      </c>
      <c r="BP93" s="113" t="str">
        <f t="shared" si="85"/>
        <v/>
      </c>
      <c r="BQ93" s="113" t="str">
        <f t="shared" si="86"/>
        <v/>
      </c>
      <c r="BR93" s="33" t="str">
        <f t="shared" si="87"/>
        <v/>
      </c>
    </row>
    <row r="94" spans="1:70" ht="15" customHeight="1">
      <c r="A94" s="193">
        <v>86</v>
      </c>
      <c r="B94" s="7"/>
      <c r="C94" s="7"/>
      <c r="D94" s="19"/>
      <c r="E94" s="7"/>
      <c r="F94" s="7"/>
      <c r="G94" s="7"/>
      <c r="H94" s="7"/>
      <c r="I94" s="28"/>
      <c r="J94" s="7"/>
      <c r="K94" s="29"/>
      <c r="L94" s="678"/>
      <c r="M94" s="7"/>
      <c r="N94" s="672"/>
      <c r="O94" s="11"/>
      <c r="P94" s="107" t="str">
        <f t="shared" si="52"/>
        <v/>
      </c>
      <c r="Q94" s="699"/>
      <c r="R94" s="702"/>
      <c r="S94" s="684"/>
      <c r="T94" s="11"/>
      <c r="U94" s="107" t="str">
        <f t="shared" si="53"/>
        <v/>
      </c>
      <c r="V94" s="695"/>
      <c r="W94" s="685"/>
      <c r="X94" s="707"/>
      <c r="Y94" s="684"/>
      <c r="Z94" s="108" t="str">
        <f t="shared" si="54"/>
        <v/>
      </c>
      <c r="AA94" s="25"/>
      <c r="AB94" s="287" t="str" cm="1">
        <f t="array" ref="AB94">IF((_xlfn.IFS(TRIM(SUBSTITUTE(AA94,CHAR(160),""))="Devis 1",IFERROR(VALUE(TRIM(SUBSTITUTE(N94,CHAR(160),""))),0),TRIM(SUBSTITUTE(AA94,CHAR(160),""))="Devis 2",IFERROR(VALUE(TRIM(SUBSTITUTE(S94,CHAR(160),""))),0),TRIM(SUBSTITUTE(AA94,CHAR(160),""))="Devis 3",IFERROR(VALUE(TRIM(SUBSTITUTE(X94,CHAR(160),""))),0),TRUE,0)*IFERROR(VALUE(TRIM(SUBSTITUTE(D94,CHAR(160),""))),0))=0,"",_xlfn.IFS(TRIM(SUBSTITUTE(AA94,CHAR(160),""))="Devis 1",IFERROR(VALUE(TRIM(SUBSTITUTE(N94,CHAR(160),""))),0),TRIM(SUBSTITUTE(AA94,CHAR(160),""))="Devis 2",IFERROR(VALUE(TRIM(SUBSTITUTE(S94,CHAR(160),""))),0),TRIM(SUBSTITUTE(AA94,CHAR(160),""))="Devis 3",IFERROR(VALUE(TRIM(SUBSTITUTE(X94,CHAR(160),""))),0),TRUE,0)*IFERROR(VALUE(TRIM(SUBSTITUTE(D94,CHAR(160),""))),0))</f>
        <v/>
      </c>
      <c r="AC94" s="275" t="str" cm="1">
        <f t="array" ref="AC94">IF(_xlfn.IFS(TRIM(SUBSTITUTE(AA94,CHAR(160),""))="Devis 1",IFERROR(VALUE(TRIM(SUBSTITUTE(O94,CHAR(160),""))),0),TRIM(SUBSTITUTE(AA94,CHAR(160),""))="Devis 2",IFERROR(VALUE(TRIM(SUBSTITUTE(T94,CHAR(160),""))),0),TRIM(SUBSTITUTE(AA94,CHAR(160),""))="Devis 3",IFERROR(VALUE(TRIM(SUBSTITUTE(Y94,CHAR(160),""))),0),TRUE,0)*IFERROR(VALUE(TRIM(SUBSTITUTE(D94,CHAR(160),""))),0)=0,IF(AB94&lt;&gt;"",0,""),_xlfn.IFS(TRIM(SUBSTITUTE(AA94,CHAR(160),""))="Devis 1",IFERROR(VALUE(TRIM(SUBSTITUTE(O94,CHAR(160),""))),0),TRIM(SUBSTITUTE(AA94,CHAR(160),""))="Devis 2",IFERROR(VALUE(TRIM(SUBSTITUTE(T94,CHAR(160),""))),0),TRIM(SUBSTITUTE(AA94,CHAR(160),""))="Devis 3",IFERROR(VALUE(TRIM(SUBSTITUTE(Y94,CHAR(160),""))),0),TRUE,0)*IFERROR(VALUE(TRIM(SUBSTITUTE(D94,CHAR(160),""))),0))</f>
        <v/>
      </c>
      <c r="AD94" s="285" t="str">
        <f t="shared" si="88"/>
        <v/>
      </c>
      <c r="AE94" s="26"/>
      <c r="AF94" s="109" t="str">
        <f t="shared" si="55"/>
        <v/>
      </c>
      <c r="AG94" s="109" t="str">
        <f t="shared" si="56"/>
        <v/>
      </c>
      <c r="AH94" s="885" t="str">
        <f t="shared" si="57"/>
        <v/>
      </c>
      <c r="AI94" s="109" t="str">
        <f t="shared" si="58"/>
        <v/>
      </c>
      <c r="AJ94" s="109" t="str">
        <f t="shared" si="59"/>
        <v/>
      </c>
      <c r="AK94" s="109" t="str">
        <f t="shared" si="60"/>
        <v/>
      </c>
      <c r="AL94" s="109" t="str">
        <f t="shared" si="61"/>
        <v/>
      </c>
      <c r="AM94" s="109" t="str">
        <f t="shared" si="62"/>
        <v/>
      </c>
      <c r="AN94" s="109" t="str">
        <f t="shared" si="63"/>
        <v/>
      </c>
      <c r="AO94" s="109" t="str">
        <f t="shared" si="64"/>
        <v/>
      </c>
      <c r="AP94" s="754" t="str">
        <f t="shared" si="65"/>
        <v/>
      </c>
      <c r="AQ94" s="755" t="str">
        <f t="shared" si="66"/>
        <v/>
      </c>
      <c r="AR94" s="195" t="str">
        <f t="shared" si="67"/>
        <v/>
      </c>
      <c r="AS94" s="195" t="str">
        <f t="shared" si="68"/>
        <v/>
      </c>
      <c r="AT94" s="664" t="str">
        <f t="shared" si="69"/>
        <v/>
      </c>
      <c r="AU94" s="756" t="str">
        <f t="shared" si="70"/>
        <v/>
      </c>
      <c r="AV94" s="195" t="str">
        <f t="shared" si="71"/>
        <v/>
      </c>
      <c r="AW94" s="195" t="str">
        <f t="shared" si="72"/>
        <v/>
      </c>
      <c r="AX94" s="195" t="str">
        <f t="shared" si="73"/>
        <v/>
      </c>
      <c r="AY94" s="728" t="str">
        <f t="shared" si="74"/>
        <v/>
      </c>
      <c r="AZ94" s="195" t="str">
        <f t="shared" si="75"/>
        <v/>
      </c>
      <c r="BA94" s="195" t="str">
        <f t="shared" si="76"/>
        <v/>
      </c>
      <c r="BB94" s="195" t="str">
        <f t="shared" si="77"/>
        <v/>
      </c>
      <c r="BC94" s="195" t="str">
        <f t="shared" si="78"/>
        <v/>
      </c>
      <c r="BD94" s="112" t="str">
        <f t="shared" si="79"/>
        <v/>
      </c>
      <c r="BE94" s="109" t="str">
        <f t="shared" si="80"/>
        <v/>
      </c>
      <c r="BF94" s="602"/>
      <c r="BG94" s="113" t="str">
        <f t="shared" si="81"/>
        <v/>
      </c>
      <c r="BH94" s="113" t="str">
        <f t="shared" si="82"/>
        <v/>
      </c>
      <c r="BI94" s="113" t="str">
        <f t="shared" si="83"/>
        <v/>
      </c>
      <c r="BJ94" s="281" t="str" cm="1">
        <f t="array" ref="BJ94">IF($AH94="","",
_xlfn.IFS(
$BE94="Devis 1",
IF(ISBLANK(AR94),"",IFERROR(VALUE(TRIM(SUBSTITUTE(AR94,CHAR(160),""))),0)*IFERROR(VALUE(TRIM(SUBSTITUTE($AH94,CHAR(160),""))),0)),
$BE94="Devis 2",
IF(ISBLANK(AW94),"",IFERROR(VALUE(TRIM(SUBSTITUTE(AW94,CHAR(160),""))),0)*IFERROR(VALUE(TRIM(SUBSTITUTE($AH94,CHAR(160),""))),0)),
$BE94="Devis 3",
IF(ISBLANK(BB94),"",IFERROR(VALUE(TRIM(SUBSTITUTE(BB94,CHAR(160),""))),0)*IFERROR(VALUE(TRIM(SUBSTITUTE($AH94,CHAR(160),""))),0)),
TRUE,0
)
)</f>
        <v/>
      </c>
      <c r="BK94" s="281" t="str" cm="1">
        <f t="array" ref="BK94">IF($AH94="","",
_xlfn.IFS(
$BE94="Devis 1",
IF(ISBLANK(AS94),"",IFERROR(VALUE(TRIM(SUBSTITUTE(AS94,CHAR(160),""))),0)*IFERROR(VALUE(TRIM(SUBSTITUTE($AH94,CHAR(160),""))),0)),
$BE94="Devis 2",
IF(ISBLANK(AX94),"",IFERROR(VALUE(TRIM(SUBSTITUTE(AX94,CHAR(160),""))),0)*IFERROR(VALUE(TRIM(SUBSTITUTE($AH94,CHAR(160),""))),0)),
$BE94="Devis 3",
IF(ISBLANK(BC94),"",IFERROR(VALUE(TRIM(SUBSTITUTE(BC94,CHAR(160),""))),0)*IFERROR(VALUE(TRIM(SUBSTITUTE($AH94,CHAR(160),""))),0)),
TRUE,0
)
)</f>
        <v/>
      </c>
      <c r="BL94" s="281" t="str">
        <f t="shared" si="84"/>
        <v/>
      </c>
      <c r="BM94" s="602"/>
      <c r="BN94" s="23" t="str" cm="1">
        <f t="array" ref="BN94">IF(OR(BL94="",BI94="",BJ94="",BG94="",BK94="",BH94=""),"",_xlfn.IFS(
ROUND(IFERROR(VALUE(TRIM(SUBSTITUTE(BL94,CHAR(160),""))),0),2)&gt;
ROUND(IFERROR(VALUE(TRIM(SUBSTITUTE(BI94,CHAR(160),""))),0),2),
"KO : Le montant retenu TTC est supérieur au montant raisonnable TTC. Merci de revoir la ligne de dépense ou plafonner son montant.",
ROUND(IFERROR(VALUE(TRIM(SUBSTITUTE(BJ94,CHAR(160),""))),0),2)&gt;
ROUND(IFERROR(VALUE(TRIM(SUBSTITUTE(BG94,CHAR(160),""))),0),2),
"Attention : Le montant retenu HT est supérieur au montant HT raisonnable. Merci de revoir la ligne de dépense, plafonner son montant, ou justifier la reventillation HT / TVA.",
ROUND(IFERROR(VALUE(TRIM(SUBSTITUTE(BK94,CHAR(160),""))),0),2)&gt;
ROUND(IFERROR(VALUE(TRIM(SUBSTITUTE(BH94,CHAR(160),""))),0),2),
"Attention : Le montant TVA retenu est supérieur au montant TVA raisonnable. Merci de revoir la ligne de dépense, plafonner son montant, ou justifier la reventillation HT / TVA.",
ROUND(IFERROR(VALUE(TRIM(SUBSTITUTE(BL94,CHAR(160),""))),0),2)&gt;
ROUND(IFERROR(VALUE(TRIM(SUBSTITUTE(MIN(P94,U94,Z94),CHAR(160),""))),0),2),
"Attention : Le devis retenu n'est pas le moins cher. Une justification de la part du porteur est nécessaire.",
ROUND(IFERROR(VALUE(TRIM(SUBSTITUTE(BL94,CHAR(160),""))),0),2)=0,
"Attention : montant présenté entièrement écarté",
ROUND(IFERROR(VALUE(TRIM(SUBSTITUTE(BI94,CHAR(160),""))),0),2)=
ROUND(IFERROR(VALUE(TRIM(SUBSTITUTE(BL94,CHAR(160),""))),0),2),
"OK",
ROUND(IFERROR(VALUE(TRIM(SUBSTITUTE(BI94,CHAR(160),""))),0),2)&gt;
ROUND(IFERROR(VALUE(TRIM(SUBSTITUTE(BL94,CHAR(160),""))),0),2),
" OK : Montant instruit inférieur au montant raisonnable.",
TRUE,""
))</f>
        <v/>
      </c>
      <c r="BO94" s="23" t="str" cm="1">
        <f t="array" ref="BO94">IF(OR(BL94="",AD94="",BJ94="",AB94="",BK94="",AC94=""),"",_xlfn.IFS(
ROUND(IFERROR(VALUE(TRIM(SUBSTITUTE(BL94,CHAR(160),""))),0),2)&gt;
ROUND(IFERROR(VALUE(TRIM(SUBSTITUTE(AD94,CHAR(160),""))),0),2),
"KO : Le montant retenu TTC est supérieur au montant présenté TTC. Merci de revoir la ligne de dépense ou plafonner son montant.",
ROUND(IFERROR(VALUE(TRIM(SUBSTITUTE(BJ94,CHAR(160),""))),0),2)&gt;
ROUND(IFERROR(VALUE(TRIM(SUBSTITUTE(AB94,CHAR(160),""))),0),2),
"Attention : Le montant retenu HT est supérieur au montant HT présenté. Merci de revoir la ligne de dépense, plafonner son montant, ou justifier la reventillation HT / TVA.",
ROUND(IFERROR(VALUE(TRIM(SUBSTITUTE(BK94,CHAR(160),""))),0),2)&gt;
ROUND(IFERROR(VALUE(TRIM(SUBSTITUTE(AC94,CHAR(160),""))),0),2),
"Attention : Le montant TVA retenu est supérieur au montant TVA présenté. Merci de revoir la ligne de dépense, plafonner son montant, ou justifier la reventillation HT / TVA.",
ROUND(IFERROR(VALUE(TRIM(SUBSTITUTE(AD94,CHAR(160),""))),0),2)=0,
"",
ROUND(IFERROR(VALUE(TRIM(SUBSTITUTE(BL94,CHAR(160),""))),0),2)=
ROUND(IFERROR(VALUE(TRIM(SUBSTITUTE(AD94,CHAR(160),""))),0),2),
"OK",
ROUND(IFERROR(VALUE(TRIM(SUBSTITUTE(BL94,CHAR(160),""))),0),2)=0,
"Attention : Montant présenté entièrement rejeté.",
ROUND(IFERROR(VALUE(TRIM(SUBSTITUTE(BL94,CHAR(160),""))),0),2)&lt;
ROUND(IFERROR(VALUE(TRIM(SUBSTITUTE(AD94,CHAR(160),""))),0),2),
"Attention : Montant présenté partiellement rejeté.",
TRUE,""
))</f>
        <v/>
      </c>
      <c r="BP94" s="113" t="str">
        <f t="shared" si="85"/>
        <v/>
      </c>
      <c r="BQ94" s="113" t="str">
        <f t="shared" si="86"/>
        <v/>
      </c>
      <c r="BR94" s="33" t="str">
        <f t="shared" si="87"/>
        <v/>
      </c>
    </row>
    <row r="95" spans="1:70" ht="15" customHeight="1">
      <c r="A95" s="193">
        <v>87</v>
      </c>
      <c r="B95" s="7"/>
      <c r="C95" s="7"/>
      <c r="D95" s="19"/>
      <c r="E95" s="7"/>
      <c r="F95" s="7"/>
      <c r="G95" s="7"/>
      <c r="H95" s="7"/>
      <c r="I95" s="28"/>
      <c r="J95" s="7"/>
      <c r="K95" s="29"/>
      <c r="L95" s="678"/>
      <c r="M95" s="7"/>
      <c r="N95" s="672"/>
      <c r="O95" s="11"/>
      <c r="P95" s="107" t="str">
        <f t="shared" si="52"/>
        <v/>
      </c>
      <c r="Q95" s="699"/>
      <c r="R95" s="702"/>
      <c r="S95" s="684"/>
      <c r="T95" s="11"/>
      <c r="U95" s="107" t="str">
        <f t="shared" si="53"/>
        <v/>
      </c>
      <c r="V95" s="695"/>
      <c r="W95" s="685"/>
      <c r="X95" s="707"/>
      <c r="Y95" s="684"/>
      <c r="Z95" s="108" t="str">
        <f t="shared" si="54"/>
        <v/>
      </c>
      <c r="AA95" s="25"/>
      <c r="AB95" s="287" t="str" cm="1">
        <f t="array" ref="AB95">IF((_xlfn.IFS(TRIM(SUBSTITUTE(AA95,CHAR(160),""))="Devis 1",IFERROR(VALUE(TRIM(SUBSTITUTE(N95,CHAR(160),""))),0),TRIM(SUBSTITUTE(AA95,CHAR(160),""))="Devis 2",IFERROR(VALUE(TRIM(SUBSTITUTE(S95,CHAR(160),""))),0),TRIM(SUBSTITUTE(AA95,CHAR(160),""))="Devis 3",IFERROR(VALUE(TRIM(SUBSTITUTE(X95,CHAR(160),""))),0),TRUE,0)*IFERROR(VALUE(TRIM(SUBSTITUTE(D95,CHAR(160),""))),0))=0,"",_xlfn.IFS(TRIM(SUBSTITUTE(AA95,CHAR(160),""))="Devis 1",IFERROR(VALUE(TRIM(SUBSTITUTE(N95,CHAR(160),""))),0),TRIM(SUBSTITUTE(AA95,CHAR(160),""))="Devis 2",IFERROR(VALUE(TRIM(SUBSTITUTE(S95,CHAR(160),""))),0),TRIM(SUBSTITUTE(AA95,CHAR(160),""))="Devis 3",IFERROR(VALUE(TRIM(SUBSTITUTE(X95,CHAR(160),""))),0),TRUE,0)*IFERROR(VALUE(TRIM(SUBSTITUTE(D95,CHAR(160),""))),0))</f>
        <v/>
      </c>
      <c r="AC95" s="275" t="str" cm="1">
        <f t="array" ref="AC95">IF(_xlfn.IFS(TRIM(SUBSTITUTE(AA95,CHAR(160),""))="Devis 1",IFERROR(VALUE(TRIM(SUBSTITUTE(O95,CHAR(160),""))),0),TRIM(SUBSTITUTE(AA95,CHAR(160),""))="Devis 2",IFERROR(VALUE(TRIM(SUBSTITUTE(T95,CHAR(160),""))),0),TRIM(SUBSTITUTE(AA95,CHAR(160),""))="Devis 3",IFERROR(VALUE(TRIM(SUBSTITUTE(Y95,CHAR(160),""))),0),TRUE,0)*IFERROR(VALUE(TRIM(SUBSTITUTE(D95,CHAR(160),""))),0)=0,IF(AB95&lt;&gt;"",0,""),_xlfn.IFS(TRIM(SUBSTITUTE(AA95,CHAR(160),""))="Devis 1",IFERROR(VALUE(TRIM(SUBSTITUTE(O95,CHAR(160),""))),0),TRIM(SUBSTITUTE(AA95,CHAR(160),""))="Devis 2",IFERROR(VALUE(TRIM(SUBSTITUTE(T95,CHAR(160),""))),0),TRIM(SUBSTITUTE(AA95,CHAR(160),""))="Devis 3",IFERROR(VALUE(TRIM(SUBSTITUTE(Y95,CHAR(160),""))),0),TRUE,0)*IFERROR(VALUE(TRIM(SUBSTITUTE(D95,CHAR(160),""))),0))</f>
        <v/>
      </c>
      <c r="AD95" s="285" t="str">
        <f t="shared" si="88"/>
        <v/>
      </c>
      <c r="AE95" s="26"/>
      <c r="AF95" s="109" t="str">
        <f t="shared" si="55"/>
        <v/>
      </c>
      <c r="AG95" s="109" t="str">
        <f t="shared" si="56"/>
        <v/>
      </c>
      <c r="AH95" s="885" t="str">
        <f t="shared" si="57"/>
        <v/>
      </c>
      <c r="AI95" s="109" t="str">
        <f t="shared" si="58"/>
        <v/>
      </c>
      <c r="AJ95" s="109" t="str">
        <f t="shared" si="59"/>
        <v/>
      </c>
      <c r="AK95" s="109" t="str">
        <f t="shared" si="60"/>
        <v/>
      </c>
      <c r="AL95" s="109" t="str">
        <f t="shared" si="61"/>
        <v/>
      </c>
      <c r="AM95" s="109" t="str">
        <f t="shared" si="62"/>
        <v/>
      </c>
      <c r="AN95" s="109" t="str">
        <f t="shared" si="63"/>
        <v/>
      </c>
      <c r="AO95" s="109" t="str">
        <f t="shared" si="64"/>
        <v/>
      </c>
      <c r="AP95" s="754" t="str">
        <f t="shared" si="65"/>
        <v/>
      </c>
      <c r="AQ95" s="755" t="str">
        <f t="shared" si="66"/>
        <v/>
      </c>
      <c r="AR95" s="195" t="str">
        <f t="shared" si="67"/>
        <v/>
      </c>
      <c r="AS95" s="195" t="str">
        <f t="shared" si="68"/>
        <v/>
      </c>
      <c r="AT95" s="664" t="str">
        <f t="shared" si="69"/>
        <v/>
      </c>
      <c r="AU95" s="756" t="str">
        <f t="shared" si="70"/>
        <v/>
      </c>
      <c r="AV95" s="195" t="str">
        <f t="shared" si="71"/>
        <v/>
      </c>
      <c r="AW95" s="195" t="str">
        <f t="shared" si="72"/>
        <v/>
      </c>
      <c r="AX95" s="195" t="str">
        <f t="shared" si="73"/>
        <v/>
      </c>
      <c r="AY95" s="728" t="str">
        <f t="shared" si="74"/>
        <v/>
      </c>
      <c r="AZ95" s="195" t="str">
        <f t="shared" si="75"/>
        <v/>
      </c>
      <c r="BA95" s="195" t="str">
        <f t="shared" si="76"/>
        <v/>
      </c>
      <c r="BB95" s="195" t="str">
        <f t="shared" si="77"/>
        <v/>
      </c>
      <c r="BC95" s="195" t="str">
        <f t="shared" si="78"/>
        <v/>
      </c>
      <c r="BD95" s="112" t="str">
        <f t="shared" si="79"/>
        <v/>
      </c>
      <c r="BE95" s="109" t="str">
        <f t="shared" si="80"/>
        <v/>
      </c>
      <c r="BF95" s="602"/>
      <c r="BG95" s="113" t="str">
        <f t="shared" si="81"/>
        <v/>
      </c>
      <c r="BH95" s="113" t="str">
        <f t="shared" si="82"/>
        <v/>
      </c>
      <c r="BI95" s="113" t="str">
        <f t="shared" si="83"/>
        <v/>
      </c>
      <c r="BJ95" s="281" t="str" cm="1">
        <f t="array" ref="BJ95">IF($AH95="","",
_xlfn.IFS(
$BE95="Devis 1",
IF(ISBLANK(AR95),"",IFERROR(VALUE(TRIM(SUBSTITUTE(AR95,CHAR(160),""))),0)*IFERROR(VALUE(TRIM(SUBSTITUTE($AH95,CHAR(160),""))),0)),
$BE95="Devis 2",
IF(ISBLANK(AW95),"",IFERROR(VALUE(TRIM(SUBSTITUTE(AW95,CHAR(160),""))),0)*IFERROR(VALUE(TRIM(SUBSTITUTE($AH95,CHAR(160),""))),0)),
$BE95="Devis 3",
IF(ISBLANK(BB95),"",IFERROR(VALUE(TRIM(SUBSTITUTE(BB95,CHAR(160),""))),0)*IFERROR(VALUE(TRIM(SUBSTITUTE($AH95,CHAR(160),""))),0)),
TRUE,0
)
)</f>
        <v/>
      </c>
      <c r="BK95" s="281" t="str" cm="1">
        <f t="array" ref="BK95">IF($AH95="","",
_xlfn.IFS(
$BE95="Devis 1",
IF(ISBLANK(AS95),"",IFERROR(VALUE(TRIM(SUBSTITUTE(AS95,CHAR(160),""))),0)*IFERROR(VALUE(TRIM(SUBSTITUTE($AH95,CHAR(160),""))),0)),
$BE95="Devis 2",
IF(ISBLANK(AX95),"",IFERROR(VALUE(TRIM(SUBSTITUTE(AX95,CHAR(160),""))),0)*IFERROR(VALUE(TRIM(SUBSTITUTE($AH95,CHAR(160),""))),0)),
$BE95="Devis 3",
IF(ISBLANK(BC95),"",IFERROR(VALUE(TRIM(SUBSTITUTE(BC95,CHAR(160),""))),0)*IFERROR(VALUE(TRIM(SUBSTITUTE($AH95,CHAR(160),""))),0)),
TRUE,0
)
)</f>
        <v/>
      </c>
      <c r="BL95" s="281" t="str">
        <f t="shared" si="84"/>
        <v/>
      </c>
      <c r="BM95" s="602"/>
      <c r="BN95" s="23" t="str" cm="1">
        <f t="array" ref="BN95">IF(OR(BL95="",BI95="",BJ95="",BG95="",BK95="",BH95=""),"",_xlfn.IFS(
ROUND(IFERROR(VALUE(TRIM(SUBSTITUTE(BL95,CHAR(160),""))),0),2)&gt;
ROUND(IFERROR(VALUE(TRIM(SUBSTITUTE(BI95,CHAR(160),""))),0),2),
"KO : Le montant retenu TTC est supérieur au montant raisonnable TTC. Merci de revoir la ligne de dépense ou plafonner son montant.",
ROUND(IFERROR(VALUE(TRIM(SUBSTITUTE(BJ95,CHAR(160),""))),0),2)&gt;
ROUND(IFERROR(VALUE(TRIM(SUBSTITUTE(BG95,CHAR(160),""))),0),2),
"Attention : Le montant retenu HT est supérieur au montant HT raisonnable. Merci de revoir la ligne de dépense, plafonner son montant, ou justifier la reventillation HT / TVA.",
ROUND(IFERROR(VALUE(TRIM(SUBSTITUTE(BK95,CHAR(160),""))),0),2)&gt;
ROUND(IFERROR(VALUE(TRIM(SUBSTITUTE(BH95,CHAR(160),""))),0),2),
"Attention : Le montant TVA retenu est supérieur au montant TVA raisonnable. Merci de revoir la ligne de dépense, plafonner son montant, ou justifier la reventillation HT / TVA.",
ROUND(IFERROR(VALUE(TRIM(SUBSTITUTE(BL95,CHAR(160),""))),0),2)&gt;
ROUND(IFERROR(VALUE(TRIM(SUBSTITUTE(MIN(P95,U95,Z95),CHAR(160),""))),0),2),
"Attention : Le devis retenu n'est pas le moins cher. Une justification de la part du porteur est nécessaire.",
ROUND(IFERROR(VALUE(TRIM(SUBSTITUTE(BL95,CHAR(160),""))),0),2)=0,
"Attention : montant présenté entièrement écarté",
ROUND(IFERROR(VALUE(TRIM(SUBSTITUTE(BI95,CHAR(160),""))),0),2)=
ROUND(IFERROR(VALUE(TRIM(SUBSTITUTE(BL95,CHAR(160),""))),0),2),
"OK",
ROUND(IFERROR(VALUE(TRIM(SUBSTITUTE(BI95,CHAR(160),""))),0),2)&gt;
ROUND(IFERROR(VALUE(TRIM(SUBSTITUTE(BL95,CHAR(160),""))),0),2),
" OK : Montant instruit inférieur au montant raisonnable.",
TRUE,""
))</f>
        <v/>
      </c>
      <c r="BO95" s="23" t="str" cm="1">
        <f t="array" ref="BO95">IF(OR(BL95="",AD95="",BJ95="",AB95="",BK95="",AC95=""),"",_xlfn.IFS(
ROUND(IFERROR(VALUE(TRIM(SUBSTITUTE(BL95,CHAR(160),""))),0),2)&gt;
ROUND(IFERROR(VALUE(TRIM(SUBSTITUTE(AD95,CHAR(160),""))),0),2),
"KO : Le montant retenu TTC est supérieur au montant présenté TTC. Merci de revoir la ligne de dépense ou plafonner son montant.",
ROUND(IFERROR(VALUE(TRIM(SUBSTITUTE(BJ95,CHAR(160),""))),0),2)&gt;
ROUND(IFERROR(VALUE(TRIM(SUBSTITUTE(AB95,CHAR(160),""))),0),2),
"Attention : Le montant retenu HT est supérieur au montant HT présenté. Merci de revoir la ligne de dépense, plafonner son montant, ou justifier la reventillation HT / TVA.",
ROUND(IFERROR(VALUE(TRIM(SUBSTITUTE(BK95,CHAR(160),""))),0),2)&gt;
ROUND(IFERROR(VALUE(TRIM(SUBSTITUTE(AC95,CHAR(160),""))),0),2),
"Attention : Le montant TVA retenu est supérieur au montant TVA présenté. Merci de revoir la ligne de dépense, plafonner son montant, ou justifier la reventillation HT / TVA.",
ROUND(IFERROR(VALUE(TRIM(SUBSTITUTE(AD95,CHAR(160),""))),0),2)=0,
"",
ROUND(IFERROR(VALUE(TRIM(SUBSTITUTE(BL95,CHAR(160),""))),0),2)=
ROUND(IFERROR(VALUE(TRIM(SUBSTITUTE(AD95,CHAR(160),""))),0),2),
"OK",
ROUND(IFERROR(VALUE(TRIM(SUBSTITUTE(BL95,CHAR(160),""))),0),2)=0,
"Attention : Montant présenté entièrement rejeté.",
ROUND(IFERROR(VALUE(TRIM(SUBSTITUTE(BL95,CHAR(160),""))),0),2)&lt;
ROUND(IFERROR(VALUE(TRIM(SUBSTITUTE(AD95,CHAR(160),""))),0),2),
"Attention : Montant présenté partiellement rejeté.",
TRUE,""
))</f>
        <v/>
      </c>
      <c r="BP95" s="113" t="str">
        <f t="shared" si="85"/>
        <v/>
      </c>
      <c r="BQ95" s="113" t="str">
        <f t="shared" si="86"/>
        <v/>
      </c>
      <c r="BR95" s="33" t="str">
        <f t="shared" si="87"/>
        <v/>
      </c>
    </row>
    <row r="96" spans="1:70" ht="15" customHeight="1">
      <c r="A96" s="193">
        <v>88</v>
      </c>
      <c r="B96" s="7"/>
      <c r="C96" s="7"/>
      <c r="D96" s="19"/>
      <c r="E96" s="7"/>
      <c r="F96" s="7"/>
      <c r="G96" s="7"/>
      <c r="H96" s="7"/>
      <c r="I96" s="28"/>
      <c r="J96" s="7"/>
      <c r="K96" s="29"/>
      <c r="L96" s="678"/>
      <c r="M96" s="7"/>
      <c r="N96" s="672"/>
      <c r="O96" s="11"/>
      <c r="P96" s="107" t="str">
        <f t="shared" si="52"/>
        <v/>
      </c>
      <c r="Q96" s="699"/>
      <c r="R96" s="702"/>
      <c r="S96" s="684"/>
      <c r="T96" s="11"/>
      <c r="U96" s="107" t="str">
        <f t="shared" si="53"/>
        <v/>
      </c>
      <c r="V96" s="695"/>
      <c r="W96" s="685"/>
      <c r="X96" s="707"/>
      <c r="Y96" s="684"/>
      <c r="Z96" s="108" t="str">
        <f t="shared" si="54"/>
        <v/>
      </c>
      <c r="AA96" s="25"/>
      <c r="AB96" s="287" t="str" cm="1">
        <f t="array" ref="AB96">IF((_xlfn.IFS(TRIM(SUBSTITUTE(AA96,CHAR(160),""))="Devis 1",IFERROR(VALUE(TRIM(SUBSTITUTE(N96,CHAR(160),""))),0),TRIM(SUBSTITUTE(AA96,CHAR(160),""))="Devis 2",IFERROR(VALUE(TRIM(SUBSTITUTE(S96,CHAR(160),""))),0),TRIM(SUBSTITUTE(AA96,CHAR(160),""))="Devis 3",IFERROR(VALUE(TRIM(SUBSTITUTE(X96,CHAR(160),""))),0),TRUE,0)*IFERROR(VALUE(TRIM(SUBSTITUTE(D96,CHAR(160),""))),0))=0,"",_xlfn.IFS(TRIM(SUBSTITUTE(AA96,CHAR(160),""))="Devis 1",IFERROR(VALUE(TRIM(SUBSTITUTE(N96,CHAR(160),""))),0),TRIM(SUBSTITUTE(AA96,CHAR(160),""))="Devis 2",IFERROR(VALUE(TRIM(SUBSTITUTE(S96,CHAR(160),""))),0),TRIM(SUBSTITUTE(AA96,CHAR(160),""))="Devis 3",IFERROR(VALUE(TRIM(SUBSTITUTE(X96,CHAR(160),""))),0),TRUE,0)*IFERROR(VALUE(TRIM(SUBSTITUTE(D96,CHAR(160),""))),0))</f>
        <v/>
      </c>
      <c r="AC96" s="275" t="str" cm="1">
        <f t="array" ref="AC96">IF(_xlfn.IFS(TRIM(SUBSTITUTE(AA96,CHAR(160),""))="Devis 1",IFERROR(VALUE(TRIM(SUBSTITUTE(O96,CHAR(160),""))),0),TRIM(SUBSTITUTE(AA96,CHAR(160),""))="Devis 2",IFERROR(VALUE(TRIM(SUBSTITUTE(T96,CHAR(160),""))),0),TRIM(SUBSTITUTE(AA96,CHAR(160),""))="Devis 3",IFERROR(VALUE(TRIM(SUBSTITUTE(Y96,CHAR(160),""))),0),TRUE,0)*IFERROR(VALUE(TRIM(SUBSTITUTE(D96,CHAR(160),""))),0)=0,IF(AB96&lt;&gt;"",0,""),_xlfn.IFS(TRIM(SUBSTITUTE(AA96,CHAR(160),""))="Devis 1",IFERROR(VALUE(TRIM(SUBSTITUTE(O96,CHAR(160),""))),0),TRIM(SUBSTITUTE(AA96,CHAR(160),""))="Devis 2",IFERROR(VALUE(TRIM(SUBSTITUTE(T96,CHAR(160),""))),0),TRIM(SUBSTITUTE(AA96,CHAR(160),""))="Devis 3",IFERROR(VALUE(TRIM(SUBSTITUTE(Y96,CHAR(160),""))),0),TRUE,0)*IFERROR(VALUE(TRIM(SUBSTITUTE(D96,CHAR(160),""))),0))</f>
        <v/>
      </c>
      <c r="AD96" s="285" t="str">
        <f t="shared" si="88"/>
        <v/>
      </c>
      <c r="AE96" s="26"/>
      <c r="AF96" s="109" t="str">
        <f t="shared" si="55"/>
        <v/>
      </c>
      <c r="AG96" s="109" t="str">
        <f t="shared" si="56"/>
        <v/>
      </c>
      <c r="AH96" s="885" t="str">
        <f t="shared" si="57"/>
        <v/>
      </c>
      <c r="AI96" s="109" t="str">
        <f t="shared" si="58"/>
        <v/>
      </c>
      <c r="AJ96" s="109" t="str">
        <f t="shared" si="59"/>
        <v/>
      </c>
      <c r="AK96" s="109" t="str">
        <f t="shared" si="60"/>
        <v/>
      </c>
      <c r="AL96" s="109" t="str">
        <f t="shared" si="61"/>
        <v/>
      </c>
      <c r="AM96" s="109" t="str">
        <f t="shared" si="62"/>
        <v/>
      </c>
      <c r="AN96" s="109" t="str">
        <f t="shared" si="63"/>
        <v/>
      </c>
      <c r="AO96" s="109" t="str">
        <f t="shared" si="64"/>
        <v/>
      </c>
      <c r="AP96" s="754" t="str">
        <f t="shared" si="65"/>
        <v/>
      </c>
      <c r="AQ96" s="755" t="str">
        <f t="shared" si="66"/>
        <v/>
      </c>
      <c r="AR96" s="195" t="str">
        <f t="shared" si="67"/>
        <v/>
      </c>
      <c r="AS96" s="195" t="str">
        <f t="shared" si="68"/>
        <v/>
      </c>
      <c r="AT96" s="664" t="str">
        <f t="shared" si="69"/>
        <v/>
      </c>
      <c r="AU96" s="756" t="str">
        <f t="shared" si="70"/>
        <v/>
      </c>
      <c r="AV96" s="195" t="str">
        <f t="shared" si="71"/>
        <v/>
      </c>
      <c r="AW96" s="195" t="str">
        <f t="shared" si="72"/>
        <v/>
      </c>
      <c r="AX96" s="195" t="str">
        <f t="shared" si="73"/>
        <v/>
      </c>
      <c r="AY96" s="728" t="str">
        <f t="shared" si="74"/>
        <v/>
      </c>
      <c r="AZ96" s="195" t="str">
        <f t="shared" si="75"/>
        <v/>
      </c>
      <c r="BA96" s="195" t="str">
        <f t="shared" si="76"/>
        <v/>
      </c>
      <c r="BB96" s="195" t="str">
        <f t="shared" si="77"/>
        <v/>
      </c>
      <c r="BC96" s="195" t="str">
        <f t="shared" si="78"/>
        <v/>
      </c>
      <c r="BD96" s="112" t="str">
        <f t="shared" si="79"/>
        <v/>
      </c>
      <c r="BE96" s="109" t="str">
        <f t="shared" si="80"/>
        <v/>
      </c>
      <c r="BF96" s="602"/>
      <c r="BG96" s="113" t="str">
        <f t="shared" si="81"/>
        <v/>
      </c>
      <c r="BH96" s="113" t="str">
        <f t="shared" si="82"/>
        <v/>
      </c>
      <c r="BI96" s="113" t="str">
        <f t="shared" si="83"/>
        <v/>
      </c>
      <c r="BJ96" s="281" t="str" cm="1">
        <f t="array" ref="BJ96">IF($AH96="","",
_xlfn.IFS(
$BE96="Devis 1",
IF(ISBLANK(AR96),"",IFERROR(VALUE(TRIM(SUBSTITUTE(AR96,CHAR(160),""))),0)*IFERROR(VALUE(TRIM(SUBSTITUTE($AH96,CHAR(160),""))),0)),
$BE96="Devis 2",
IF(ISBLANK(AW96),"",IFERROR(VALUE(TRIM(SUBSTITUTE(AW96,CHAR(160),""))),0)*IFERROR(VALUE(TRIM(SUBSTITUTE($AH96,CHAR(160),""))),0)),
$BE96="Devis 3",
IF(ISBLANK(BB96),"",IFERROR(VALUE(TRIM(SUBSTITUTE(BB96,CHAR(160),""))),0)*IFERROR(VALUE(TRIM(SUBSTITUTE($AH96,CHAR(160),""))),0)),
TRUE,0
)
)</f>
        <v/>
      </c>
      <c r="BK96" s="281" t="str" cm="1">
        <f t="array" ref="BK96">IF($AH96="","",
_xlfn.IFS(
$BE96="Devis 1",
IF(ISBLANK(AS96),"",IFERROR(VALUE(TRIM(SUBSTITUTE(AS96,CHAR(160),""))),0)*IFERROR(VALUE(TRIM(SUBSTITUTE($AH96,CHAR(160),""))),0)),
$BE96="Devis 2",
IF(ISBLANK(AX96),"",IFERROR(VALUE(TRIM(SUBSTITUTE(AX96,CHAR(160),""))),0)*IFERROR(VALUE(TRIM(SUBSTITUTE($AH96,CHAR(160),""))),0)),
$BE96="Devis 3",
IF(ISBLANK(BC96),"",IFERROR(VALUE(TRIM(SUBSTITUTE(BC96,CHAR(160),""))),0)*IFERROR(VALUE(TRIM(SUBSTITUTE($AH96,CHAR(160),""))),0)),
TRUE,0
)
)</f>
        <v/>
      </c>
      <c r="BL96" s="281" t="str">
        <f t="shared" si="84"/>
        <v/>
      </c>
      <c r="BM96" s="602"/>
      <c r="BN96" s="23" t="str" cm="1">
        <f t="array" ref="BN96">IF(OR(BL96="",BI96="",BJ96="",BG96="",BK96="",BH96=""),"",_xlfn.IFS(
ROUND(IFERROR(VALUE(TRIM(SUBSTITUTE(BL96,CHAR(160),""))),0),2)&gt;
ROUND(IFERROR(VALUE(TRIM(SUBSTITUTE(BI96,CHAR(160),""))),0),2),
"KO : Le montant retenu TTC est supérieur au montant raisonnable TTC. Merci de revoir la ligne de dépense ou plafonner son montant.",
ROUND(IFERROR(VALUE(TRIM(SUBSTITUTE(BJ96,CHAR(160),""))),0),2)&gt;
ROUND(IFERROR(VALUE(TRIM(SUBSTITUTE(BG96,CHAR(160),""))),0),2),
"Attention : Le montant retenu HT est supérieur au montant HT raisonnable. Merci de revoir la ligne de dépense, plafonner son montant, ou justifier la reventillation HT / TVA.",
ROUND(IFERROR(VALUE(TRIM(SUBSTITUTE(BK96,CHAR(160),""))),0),2)&gt;
ROUND(IFERROR(VALUE(TRIM(SUBSTITUTE(BH96,CHAR(160),""))),0),2),
"Attention : Le montant TVA retenu est supérieur au montant TVA raisonnable. Merci de revoir la ligne de dépense, plafonner son montant, ou justifier la reventillation HT / TVA.",
ROUND(IFERROR(VALUE(TRIM(SUBSTITUTE(BL96,CHAR(160),""))),0),2)&gt;
ROUND(IFERROR(VALUE(TRIM(SUBSTITUTE(MIN(P96,U96,Z96),CHAR(160),""))),0),2),
"Attention : Le devis retenu n'est pas le moins cher. Une justification de la part du porteur est nécessaire.",
ROUND(IFERROR(VALUE(TRIM(SUBSTITUTE(BL96,CHAR(160),""))),0),2)=0,
"Attention : montant présenté entièrement écarté",
ROUND(IFERROR(VALUE(TRIM(SUBSTITUTE(BI96,CHAR(160),""))),0),2)=
ROUND(IFERROR(VALUE(TRIM(SUBSTITUTE(BL96,CHAR(160),""))),0),2),
"OK",
ROUND(IFERROR(VALUE(TRIM(SUBSTITUTE(BI96,CHAR(160),""))),0),2)&gt;
ROUND(IFERROR(VALUE(TRIM(SUBSTITUTE(BL96,CHAR(160),""))),0),2),
" OK : Montant instruit inférieur au montant raisonnable.",
TRUE,""
))</f>
        <v/>
      </c>
      <c r="BO96" s="23" t="str" cm="1">
        <f t="array" ref="BO96">IF(OR(BL96="",AD96="",BJ96="",AB96="",BK96="",AC96=""),"",_xlfn.IFS(
ROUND(IFERROR(VALUE(TRIM(SUBSTITUTE(BL96,CHAR(160),""))),0),2)&gt;
ROUND(IFERROR(VALUE(TRIM(SUBSTITUTE(AD96,CHAR(160),""))),0),2),
"KO : Le montant retenu TTC est supérieur au montant présenté TTC. Merci de revoir la ligne de dépense ou plafonner son montant.",
ROUND(IFERROR(VALUE(TRIM(SUBSTITUTE(BJ96,CHAR(160),""))),0),2)&gt;
ROUND(IFERROR(VALUE(TRIM(SUBSTITUTE(AB96,CHAR(160),""))),0),2),
"Attention : Le montant retenu HT est supérieur au montant HT présenté. Merci de revoir la ligne de dépense, plafonner son montant, ou justifier la reventillation HT / TVA.",
ROUND(IFERROR(VALUE(TRIM(SUBSTITUTE(BK96,CHAR(160),""))),0),2)&gt;
ROUND(IFERROR(VALUE(TRIM(SUBSTITUTE(AC96,CHAR(160),""))),0),2),
"Attention : Le montant TVA retenu est supérieur au montant TVA présenté. Merci de revoir la ligne de dépense, plafonner son montant, ou justifier la reventillation HT / TVA.",
ROUND(IFERROR(VALUE(TRIM(SUBSTITUTE(AD96,CHAR(160),""))),0),2)=0,
"",
ROUND(IFERROR(VALUE(TRIM(SUBSTITUTE(BL96,CHAR(160),""))),0),2)=
ROUND(IFERROR(VALUE(TRIM(SUBSTITUTE(AD96,CHAR(160),""))),0),2),
"OK",
ROUND(IFERROR(VALUE(TRIM(SUBSTITUTE(BL96,CHAR(160),""))),0),2)=0,
"Attention : Montant présenté entièrement rejeté.",
ROUND(IFERROR(VALUE(TRIM(SUBSTITUTE(BL96,CHAR(160),""))),0),2)&lt;
ROUND(IFERROR(VALUE(TRIM(SUBSTITUTE(AD96,CHAR(160),""))),0),2),
"Attention : Montant présenté partiellement rejeté.",
TRUE,""
))</f>
        <v/>
      </c>
      <c r="BP96" s="113" t="str">
        <f t="shared" si="85"/>
        <v/>
      </c>
      <c r="BQ96" s="113" t="str">
        <f t="shared" si="86"/>
        <v/>
      </c>
      <c r="BR96" s="33" t="str">
        <f t="shared" si="87"/>
        <v/>
      </c>
    </row>
    <row r="97" spans="1:70" ht="15" customHeight="1">
      <c r="A97" s="193">
        <v>89</v>
      </c>
      <c r="B97" s="7"/>
      <c r="C97" s="7"/>
      <c r="D97" s="19"/>
      <c r="E97" s="7"/>
      <c r="F97" s="7"/>
      <c r="G97" s="7"/>
      <c r="H97" s="7"/>
      <c r="I97" s="28"/>
      <c r="J97" s="7"/>
      <c r="K97" s="29"/>
      <c r="L97" s="678"/>
      <c r="M97" s="7"/>
      <c r="N97" s="672"/>
      <c r="O97" s="11"/>
      <c r="P97" s="107" t="str">
        <f t="shared" si="52"/>
        <v/>
      </c>
      <c r="Q97" s="699"/>
      <c r="R97" s="702"/>
      <c r="S97" s="684"/>
      <c r="T97" s="11"/>
      <c r="U97" s="107" t="str">
        <f t="shared" si="53"/>
        <v/>
      </c>
      <c r="V97" s="695"/>
      <c r="W97" s="685"/>
      <c r="X97" s="707"/>
      <c r="Y97" s="684"/>
      <c r="Z97" s="108" t="str">
        <f t="shared" si="54"/>
        <v/>
      </c>
      <c r="AA97" s="25"/>
      <c r="AB97" s="287" t="str" cm="1">
        <f t="array" ref="AB97">IF((_xlfn.IFS(TRIM(SUBSTITUTE(AA97,CHAR(160),""))="Devis 1",IFERROR(VALUE(TRIM(SUBSTITUTE(N97,CHAR(160),""))),0),TRIM(SUBSTITUTE(AA97,CHAR(160),""))="Devis 2",IFERROR(VALUE(TRIM(SUBSTITUTE(S97,CHAR(160),""))),0),TRIM(SUBSTITUTE(AA97,CHAR(160),""))="Devis 3",IFERROR(VALUE(TRIM(SUBSTITUTE(X97,CHAR(160),""))),0),TRUE,0)*IFERROR(VALUE(TRIM(SUBSTITUTE(D97,CHAR(160),""))),0))=0,"",_xlfn.IFS(TRIM(SUBSTITUTE(AA97,CHAR(160),""))="Devis 1",IFERROR(VALUE(TRIM(SUBSTITUTE(N97,CHAR(160),""))),0),TRIM(SUBSTITUTE(AA97,CHAR(160),""))="Devis 2",IFERROR(VALUE(TRIM(SUBSTITUTE(S97,CHAR(160),""))),0),TRIM(SUBSTITUTE(AA97,CHAR(160),""))="Devis 3",IFERROR(VALUE(TRIM(SUBSTITUTE(X97,CHAR(160),""))),0),TRUE,0)*IFERROR(VALUE(TRIM(SUBSTITUTE(D97,CHAR(160),""))),0))</f>
        <v/>
      </c>
      <c r="AC97" s="275" t="str" cm="1">
        <f t="array" ref="AC97">IF(_xlfn.IFS(TRIM(SUBSTITUTE(AA97,CHAR(160),""))="Devis 1",IFERROR(VALUE(TRIM(SUBSTITUTE(O97,CHAR(160),""))),0),TRIM(SUBSTITUTE(AA97,CHAR(160),""))="Devis 2",IFERROR(VALUE(TRIM(SUBSTITUTE(T97,CHAR(160),""))),0),TRIM(SUBSTITUTE(AA97,CHAR(160),""))="Devis 3",IFERROR(VALUE(TRIM(SUBSTITUTE(Y97,CHAR(160),""))),0),TRUE,0)*IFERROR(VALUE(TRIM(SUBSTITUTE(D97,CHAR(160),""))),0)=0,IF(AB97&lt;&gt;"",0,""),_xlfn.IFS(TRIM(SUBSTITUTE(AA97,CHAR(160),""))="Devis 1",IFERROR(VALUE(TRIM(SUBSTITUTE(O97,CHAR(160),""))),0),TRIM(SUBSTITUTE(AA97,CHAR(160),""))="Devis 2",IFERROR(VALUE(TRIM(SUBSTITUTE(T97,CHAR(160),""))),0),TRIM(SUBSTITUTE(AA97,CHAR(160),""))="Devis 3",IFERROR(VALUE(TRIM(SUBSTITUTE(Y97,CHAR(160),""))),0),TRUE,0)*IFERROR(VALUE(TRIM(SUBSTITUTE(D97,CHAR(160),""))),0))</f>
        <v/>
      </c>
      <c r="AD97" s="285" t="str">
        <f t="shared" si="88"/>
        <v/>
      </c>
      <c r="AE97" s="26"/>
      <c r="AF97" s="109" t="str">
        <f t="shared" si="55"/>
        <v/>
      </c>
      <c r="AG97" s="109" t="str">
        <f t="shared" si="56"/>
        <v/>
      </c>
      <c r="AH97" s="885" t="str">
        <f t="shared" si="57"/>
        <v/>
      </c>
      <c r="AI97" s="109" t="str">
        <f t="shared" si="58"/>
        <v/>
      </c>
      <c r="AJ97" s="109" t="str">
        <f t="shared" si="59"/>
        <v/>
      </c>
      <c r="AK97" s="109" t="str">
        <f t="shared" si="60"/>
        <v/>
      </c>
      <c r="AL97" s="109" t="str">
        <f t="shared" si="61"/>
        <v/>
      </c>
      <c r="AM97" s="109" t="str">
        <f t="shared" si="62"/>
        <v/>
      </c>
      <c r="AN97" s="109" t="str">
        <f t="shared" si="63"/>
        <v/>
      </c>
      <c r="AO97" s="109" t="str">
        <f t="shared" si="64"/>
        <v/>
      </c>
      <c r="AP97" s="754" t="str">
        <f t="shared" si="65"/>
        <v/>
      </c>
      <c r="AQ97" s="755" t="str">
        <f t="shared" si="66"/>
        <v/>
      </c>
      <c r="AR97" s="195" t="str">
        <f t="shared" si="67"/>
        <v/>
      </c>
      <c r="AS97" s="195" t="str">
        <f t="shared" si="68"/>
        <v/>
      </c>
      <c r="AT97" s="664" t="str">
        <f t="shared" si="69"/>
        <v/>
      </c>
      <c r="AU97" s="756" t="str">
        <f t="shared" si="70"/>
        <v/>
      </c>
      <c r="AV97" s="195" t="str">
        <f t="shared" si="71"/>
        <v/>
      </c>
      <c r="AW97" s="195" t="str">
        <f t="shared" si="72"/>
        <v/>
      </c>
      <c r="AX97" s="195" t="str">
        <f t="shared" si="73"/>
        <v/>
      </c>
      <c r="AY97" s="728" t="str">
        <f t="shared" si="74"/>
        <v/>
      </c>
      <c r="AZ97" s="195" t="str">
        <f t="shared" si="75"/>
        <v/>
      </c>
      <c r="BA97" s="195" t="str">
        <f t="shared" si="76"/>
        <v/>
      </c>
      <c r="BB97" s="195" t="str">
        <f t="shared" si="77"/>
        <v/>
      </c>
      <c r="BC97" s="195" t="str">
        <f t="shared" si="78"/>
        <v/>
      </c>
      <c r="BD97" s="112" t="str">
        <f t="shared" si="79"/>
        <v/>
      </c>
      <c r="BE97" s="109" t="str">
        <f t="shared" si="80"/>
        <v/>
      </c>
      <c r="BF97" s="602"/>
      <c r="BG97" s="113" t="str">
        <f t="shared" si="81"/>
        <v/>
      </c>
      <c r="BH97" s="113" t="str">
        <f t="shared" si="82"/>
        <v/>
      </c>
      <c r="BI97" s="113" t="str">
        <f t="shared" si="83"/>
        <v/>
      </c>
      <c r="BJ97" s="281" t="str" cm="1">
        <f t="array" ref="BJ97">IF($AH97="","",
_xlfn.IFS(
$BE97="Devis 1",
IF(ISBLANK(AR97),"",IFERROR(VALUE(TRIM(SUBSTITUTE(AR97,CHAR(160),""))),0)*IFERROR(VALUE(TRIM(SUBSTITUTE($AH97,CHAR(160),""))),0)),
$BE97="Devis 2",
IF(ISBLANK(AW97),"",IFERROR(VALUE(TRIM(SUBSTITUTE(AW97,CHAR(160),""))),0)*IFERROR(VALUE(TRIM(SUBSTITUTE($AH97,CHAR(160),""))),0)),
$BE97="Devis 3",
IF(ISBLANK(BB97),"",IFERROR(VALUE(TRIM(SUBSTITUTE(BB97,CHAR(160),""))),0)*IFERROR(VALUE(TRIM(SUBSTITUTE($AH97,CHAR(160),""))),0)),
TRUE,0
)
)</f>
        <v/>
      </c>
      <c r="BK97" s="281" t="str" cm="1">
        <f t="array" ref="BK97">IF($AH97="","",
_xlfn.IFS(
$BE97="Devis 1",
IF(ISBLANK(AS97),"",IFERROR(VALUE(TRIM(SUBSTITUTE(AS97,CHAR(160),""))),0)*IFERROR(VALUE(TRIM(SUBSTITUTE($AH97,CHAR(160),""))),0)),
$BE97="Devis 2",
IF(ISBLANK(AX97),"",IFERROR(VALUE(TRIM(SUBSTITUTE(AX97,CHAR(160),""))),0)*IFERROR(VALUE(TRIM(SUBSTITUTE($AH97,CHAR(160),""))),0)),
$BE97="Devis 3",
IF(ISBLANK(BC97),"",IFERROR(VALUE(TRIM(SUBSTITUTE(BC97,CHAR(160),""))),0)*IFERROR(VALUE(TRIM(SUBSTITUTE($AH97,CHAR(160),""))),0)),
TRUE,0
)
)</f>
        <v/>
      </c>
      <c r="BL97" s="281" t="str">
        <f t="shared" si="84"/>
        <v/>
      </c>
      <c r="BM97" s="602"/>
      <c r="BN97" s="23" t="str" cm="1">
        <f t="array" ref="BN97">IF(OR(BL97="",BI97="",BJ97="",BG97="",BK97="",BH97=""),"",_xlfn.IFS(
ROUND(IFERROR(VALUE(TRIM(SUBSTITUTE(BL97,CHAR(160),""))),0),2)&gt;
ROUND(IFERROR(VALUE(TRIM(SUBSTITUTE(BI97,CHAR(160),""))),0),2),
"KO : Le montant retenu TTC est supérieur au montant raisonnable TTC. Merci de revoir la ligne de dépense ou plafonner son montant.",
ROUND(IFERROR(VALUE(TRIM(SUBSTITUTE(BJ97,CHAR(160),""))),0),2)&gt;
ROUND(IFERROR(VALUE(TRIM(SUBSTITUTE(BG97,CHAR(160),""))),0),2),
"Attention : Le montant retenu HT est supérieur au montant HT raisonnable. Merci de revoir la ligne de dépense, plafonner son montant, ou justifier la reventillation HT / TVA.",
ROUND(IFERROR(VALUE(TRIM(SUBSTITUTE(BK97,CHAR(160),""))),0),2)&gt;
ROUND(IFERROR(VALUE(TRIM(SUBSTITUTE(BH97,CHAR(160),""))),0),2),
"Attention : Le montant TVA retenu est supérieur au montant TVA raisonnable. Merci de revoir la ligne de dépense, plafonner son montant, ou justifier la reventillation HT / TVA.",
ROUND(IFERROR(VALUE(TRIM(SUBSTITUTE(BL97,CHAR(160),""))),0),2)&gt;
ROUND(IFERROR(VALUE(TRIM(SUBSTITUTE(MIN(P97,U97,Z97),CHAR(160),""))),0),2),
"Attention : Le devis retenu n'est pas le moins cher. Une justification de la part du porteur est nécessaire.",
ROUND(IFERROR(VALUE(TRIM(SUBSTITUTE(BL97,CHAR(160),""))),0),2)=0,
"Attention : montant présenté entièrement écarté",
ROUND(IFERROR(VALUE(TRIM(SUBSTITUTE(BI97,CHAR(160),""))),0),2)=
ROUND(IFERROR(VALUE(TRIM(SUBSTITUTE(BL97,CHAR(160),""))),0),2),
"OK",
ROUND(IFERROR(VALUE(TRIM(SUBSTITUTE(BI97,CHAR(160),""))),0),2)&gt;
ROUND(IFERROR(VALUE(TRIM(SUBSTITUTE(BL97,CHAR(160),""))),0),2),
" OK : Montant instruit inférieur au montant raisonnable.",
TRUE,""
))</f>
        <v/>
      </c>
      <c r="BO97" s="23" t="str" cm="1">
        <f t="array" ref="BO97">IF(OR(BL97="",AD97="",BJ97="",AB97="",BK97="",AC97=""),"",_xlfn.IFS(
ROUND(IFERROR(VALUE(TRIM(SUBSTITUTE(BL97,CHAR(160),""))),0),2)&gt;
ROUND(IFERROR(VALUE(TRIM(SUBSTITUTE(AD97,CHAR(160),""))),0),2),
"KO : Le montant retenu TTC est supérieur au montant présenté TTC. Merci de revoir la ligne de dépense ou plafonner son montant.",
ROUND(IFERROR(VALUE(TRIM(SUBSTITUTE(BJ97,CHAR(160),""))),0),2)&gt;
ROUND(IFERROR(VALUE(TRIM(SUBSTITUTE(AB97,CHAR(160),""))),0),2),
"Attention : Le montant retenu HT est supérieur au montant HT présenté. Merci de revoir la ligne de dépense, plafonner son montant, ou justifier la reventillation HT / TVA.",
ROUND(IFERROR(VALUE(TRIM(SUBSTITUTE(BK97,CHAR(160),""))),0),2)&gt;
ROUND(IFERROR(VALUE(TRIM(SUBSTITUTE(AC97,CHAR(160),""))),0),2),
"Attention : Le montant TVA retenu est supérieur au montant TVA présenté. Merci de revoir la ligne de dépense, plafonner son montant, ou justifier la reventillation HT / TVA.",
ROUND(IFERROR(VALUE(TRIM(SUBSTITUTE(AD97,CHAR(160),""))),0),2)=0,
"",
ROUND(IFERROR(VALUE(TRIM(SUBSTITUTE(BL97,CHAR(160),""))),0),2)=
ROUND(IFERROR(VALUE(TRIM(SUBSTITUTE(AD97,CHAR(160),""))),0),2),
"OK",
ROUND(IFERROR(VALUE(TRIM(SUBSTITUTE(BL97,CHAR(160),""))),0),2)=0,
"Attention : Montant présenté entièrement rejeté.",
ROUND(IFERROR(VALUE(TRIM(SUBSTITUTE(BL97,CHAR(160),""))),0),2)&lt;
ROUND(IFERROR(VALUE(TRIM(SUBSTITUTE(AD97,CHAR(160),""))),0),2),
"Attention : Montant présenté partiellement rejeté.",
TRUE,""
))</f>
        <v/>
      </c>
      <c r="BP97" s="113" t="str">
        <f t="shared" si="85"/>
        <v/>
      </c>
      <c r="BQ97" s="113" t="str">
        <f t="shared" si="86"/>
        <v/>
      </c>
      <c r="BR97" s="33" t="str">
        <f t="shared" si="87"/>
        <v/>
      </c>
    </row>
    <row r="98" spans="1:70" ht="15" customHeight="1">
      <c r="A98" s="193">
        <v>90</v>
      </c>
      <c r="B98" s="7"/>
      <c r="C98" s="7"/>
      <c r="D98" s="19"/>
      <c r="E98" s="7"/>
      <c r="F98" s="7"/>
      <c r="G98" s="7"/>
      <c r="H98" s="7"/>
      <c r="I98" s="28"/>
      <c r="J98" s="7"/>
      <c r="K98" s="29"/>
      <c r="L98" s="678"/>
      <c r="M98" s="7"/>
      <c r="N98" s="672"/>
      <c r="O98" s="11"/>
      <c r="P98" s="107" t="str">
        <f t="shared" si="52"/>
        <v/>
      </c>
      <c r="Q98" s="699"/>
      <c r="R98" s="702"/>
      <c r="S98" s="684"/>
      <c r="T98" s="11"/>
      <c r="U98" s="107" t="str">
        <f t="shared" si="53"/>
        <v/>
      </c>
      <c r="V98" s="695"/>
      <c r="W98" s="685"/>
      <c r="X98" s="707"/>
      <c r="Y98" s="684"/>
      <c r="Z98" s="108" t="str">
        <f t="shared" si="54"/>
        <v/>
      </c>
      <c r="AA98" s="25"/>
      <c r="AB98" s="287" t="str" cm="1">
        <f t="array" ref="AB98">IF((_xlfn.IFS(TRIM(SUBSTITUTE(AA98,CHAR(160),""))="Devis 1",IFERROR(VALUE(TRIM(SUBSTITUTE(N98,CHAR(160),""))),0),TRIM(SUBSTITUTE(AA98,CHAR(160),""))="Devis 2",IFERROR(VALUE(TRIM(SUBSTITUTE(S98,CHAR(160),""))),0),TRIM(SUBSTITUTE(AA98,CHAR(160),""))="Devis 3",IFERROR(VALUE(TRIM(SUBSTITUTE(X98,CHAR(160),""))),0),TRUE,0)*IFERROR(VALUE(TRIM(SUBSTITUTE(D98,CHAR(160),""))),0))=0,"",_xlfn.IFS(TRIM(SUBSTITUTE(AA98,CHAR(160),""))="Devis 1",IFERROR(VALUE(TRIM(SUBSTITUTE(N98,CHAR(160),""))),0),TRIM(SUBSTITUTE(AA98,CHAR(160),""))="Devis 2",IFERROR(VALUE(TRIM(SUBSTITUTE(S98,CHAR(160),""))),0),TRIM(SUBSTITUTE(AA98,CHAR(160),""))="Devis 3",IFERROR(VALUE(TRIM(SUBSTITUTE(X98,CHAR(160),""))),0),TRUE,0)*IFERROR(VALUE(TRIM(SUBSTITUTE(D98,CHAR(160),""))),0))</f>
        <v/>
      </c>
      <c r="AC98" s="275" t="str" cm="1">
        <f t="array" ref="AC98">IF(_xlfn.IFS(TRIM(SUBSTITUTE(AA98,CHAR(160),""))="Devis 1",IFERROR(VALUE(TRIM(SUBSTITUTE(O98,CHAR(160),""))),0),TRIM(SUBSTITUTE(AA98,CHAR(160),""))="Devis 2",IFERROR(VALUE(TRIM(SUBSTITUTE(T98,CHAR(160),""))),0),TRIM(SUBSTITUTE(AA98,CHAR(160),""))="Devis 3",IFERROR(VALUE(TRIM(SUBSTITUTE(Y98,CHAR(160),""))),0),TRUE,0)*IFERROR(VALUE(TRIM(SUBSTITUTE(D98,CHAR(160),""))),0)=0,IF(AB98&lt;&gt;"",0,""),_xlfn.IFS(TRIM(SUBSTITUTE(AA98,CHAR(160),""))="Devis 1",IFERROR(VALUE(TRIM(SUBSTITUTE(O98,CHAR(160),""))),0),TRIM(SUBSTITUTE(AA98,CHAR(160),""))="Devis 2",IFERROR(VALUE(TRIM(SUBSTITUTE(T98,CHAR(160),""))),0),TRIM(SUBSTITUTE(AA98,CHAR(160),""))="Devis 3",IFERROR(VALUE(TRIM(SUBSTITUTE(Y98,CHAR(160),""))),0),TRUE,0)*IFERROR(VALUE(TRIM(SUBSTITUTE(D98,CHAR(160),""))),0))</f>
        <v/>
      </c>
      <c r="AD98" s="285" t="str">
        <f t="shared" si="88"/>
        <v/>
      </c>
      <c r="AE98" s="26"/>
      <c r="AF98" s="109" t="str">
        <f t="shared" si="55"/>
        <v/>
      </c>
      <c r="AG98" s="109" t="str">
        <f t="shared" si="56"/>
        <v/>
      </c>
      <c r="AH98" s="885" t="str">
        <f t="shared" si="57"/>
        <v/>
      </c>
      <c r="AI98" s="109" t="str">
        <f t="shared" si="58"/>
        <v/>
      </c>
      <c r="AJ98" s="109" t="str">
        <f t="shared" si="59"/>
        <v/>
      </c>
      <c r="AK98" s="109" t="str">
        <f t="shared" si="60"/>
        <v/>
      </c>
      <c r="AL98" s="109" t="str">
        <f t="shared" si="61"/>
        <v/>
      </c>
      <c r="AM98" s="109" t="str">
        <f t="shared" si="62"/>
        <v/>
      </c>
      <c r="AN98" s="109" t="str">
        <f t="shared" si="63"/>
        <v/>
      </c>
      <c r="AO98" s="109" t="str">
        <f t="shared" si="64"/>
        <v/>
      </c>
      <c r="AP98" s="754" t="str">
        <f t="shared" si="65"/>
        <v/>
      </c>
      <c r="AQ98" s="755" t="str">
        <f t="shared" si="66"/>
        <v/>
      </c>
      <c r="AR98" s="195" t="str">
        <f t="shared" si="67"/>
        <v/>
      </c>
      <c r="AS98" s="195" t="str">
        <f t="shared" si="68"/>
        <v/>
      </c>
      <c r="AT98" s="664" t="str">
        <f t="shared" si="69"/>
        <v/>
      </c>
      <c r="AU98" s="756" t="str">
        <f t="shared" si="70"/>
        <v/>
      </c>
      <c r="AV98" s="195" t="str">
        <f t="shared" si="71"/>
        <v/>
      </c>
      <c r="AW98" s="195" t="str">
        <f t="shared" si="72"/>
        <v/>
      </c>
      <c r="AX98" s="195" t="str">
        <f t="shared" si="73"/>
        <v/>
      </c>
      <c r="AY98" s="728" t="str">
        <f t="shared" si="74"/>
        <v/>
      </c>
      <c r="AZ98" s="195" t="str">
        <f t="shared" si="75"/>
        <v/>
      </c>
      <c r="BA98" s="195" t="str">
        <f t="shared" si="76"/>
        <v/>
      </c>
      <c r="BB98" s="195" t="str">
        <f t="shared" si="77"/>
        <v/>
      </c>
      <c r="BC98" s="195" t="str">
        <f t="shared" si="78"/>
        <v/>
      </c>
      <c r="BD98" s="112" t="str">
        <f t="shared" si="79"/>
        <v/>
      </c>
      <c r="BE98" s="109" t="str">
        <f t="shared" si="80"/>
        <v/>
      </c>
      <c r="BF98" s="602"/>
      <c r="BG98" s="113" t="str">
        <f t="shared" si="81"/>
        <v/>
      </c>
      <c r="BH98" s="113" t="str">
        <f t="shared" si="82"/>
        <v/>
      </c>
      <c r="BI98" s="113" t="str">
        <f t="shared" si="83"/>
        <v/>
      </c>
      <c r="BJ98" s="281" t="str" cm="1">
        <f t="array" ref="BJ98">IF($AH98="","",
_xlfn.IFS(
$BE98="Devis 1",
IF(ISBLANK(AR98),"",IFERROR(VALUE(TRIM(SUBSTITUTE(AR98,CHAR(160),""))),0)*IFERROR(VALUE(TRIM(SUBSTITUTE($AH98,CHAR(160),""))),0)),
$BE98="Devis 2",
IF(ISBLANK(AW98),"",IFERROR(VALUE(TRIM(SUBSTITUTE(AW98,CHAR(160),""))),0)*IFERROR(VALUE(TRIM(SUBSTITUTE($AH98,CHAR(160),""))),0)),
$BE98="Devis 3",
IF(ISBLANK(BB98),"",IFERROR(VALUE(TRIM(SUBSTITUTE(BB98,CHAR(160),""))),0)*IFERROR(VALUE(TRIM(SUBSTITUTE($AH98,CHAR(160),""))),0)),
TRUE,0
)
)</f>
        <v/>
      </c>
      <c r="BK98" s="281" t="str" cm="1">
        <f t="array" ref="BK98">IF($AH98="","",
_xlfn.IFS(
$BE98="Devis 1",
IF(ISBLANK(AS98),"",IFERROR(VALUE(TRIM(SUBSTITUTE(AS98,CHAR(160),""))),0)*IFERROR(VALUE(TRIM(SUBSTITUTE($AH98,CHAR(160),""))),0)),
$BE98="Devis 2",
IF(ISBLANK(AX98),"",IFERROR(VALUE(TRIM(SUBSTITUTE(AX98,CHAR(160),""))),0)*IFERROR(VALUE(TRIM(SUBSTITUTE($AH98,CHAR(160),""))),0)),
$BE98="Devis 3",
IF(ISBLANK(BC98),"",IFERROR(VALUE(TRIM(SUBSTITUTE(BC98,CHAR(160),""))),0)*IFERROR(VALUE(TRIM(SUBSTITUTE($AH98,CHAR(160),""))),0)),
TRUE,0
)
)</f>
        <v/>
      </c>
      <c r="BL98" s="281" t="str">
        <f t="shared" si="84"/>
        <v/>
      </c>
      <c r="BM98" s="602"/>
      <c r="BN98" s="23" t="str" cm="1">
        <f t="array" ref="BN98">IF(OR(BL98="",BI98="",BJ98="",BG98="",BK98="",BH98=""),"",_xlfn.IFS(
ROUND(IFERROR(VALUE(TRIM(SUBSTITUTE(BL98,CHAR(160),""))),0),2)&gt;
ROUND(IFERROR(VALUE(TRIM(SUBSTITUTE(BI98,CHAR(160),""))),0),2),
"KO : Le montant retenu TTC est supérieur au montant raisonnable TTC. Merci de revoir la ligne de dépense ou plafonner son montant.",
ROUND(IFERROR(VALUE(TRIM(SUBSTITUTE(BJ98,CHAR(160),""))),0),2)&gt;
ROUND(IFERROR(VALUE(TRIM(SUBSTITUTE(BG98,CHAR(160),""))),0),2),
"Attention : Le montant retenu HT est supérieur au montant HT raisonnable. Merci de revoir la ligne de dépense, plafonner son montant, ou justifier la reventillation HT / TVA.",
ROUND(IFERROR(VALUE(TRIM(SUBSTITUTE(BK98,CHAR(160),""))),0),2)&gt;
ROUND(IFERROR(VALUE(TRIM(SUBSTITUTE(BH98,CHAR(160),""))),0),2),
"Attention : Le montant TVA retenu est supérieur au montant TVA raisonnable. Merci de revoir la ligne de dépense, plafonner son montant, ou justifier la reventillation HT / TVA.",
ROUND(IFERROR(VALUE(TRIM(SUBSTITUTE(BL98,CHAR(160),""))),0),2)&gt;
ROUND(IFERROR(VALUE(TRIM(SUBSTITUTE(MIN(P98,U98,Z98),CHAR(160),""))),0),2),
"Attention : Le devis retenu n'est pas le moins cher. Une justification de la part du porteur est nécessaire.",
ROUND(IFERROR(VALUE(TRIM(SUBSTITUTE(BL98,CHAR(160),""))),0),2)=0,
"Attention : montant présenté entièrement écarté",
ROUND(IFERROR(VALUE(TRIM(SUBSTITUTE(BI98,CHAR(160),""))),0),2)=
ROUND(IFERROR(VALUE(TRIM(SUBSTITUTE(BL98,CHAR(160),""))),0),2),
"OK",
ROUND(IFERROR(VALUE(TRIM(SUBSTITUTE(BI98,CHAR(160),""))),0),2)&gt;
ROUND(IFERROR(VALUE(TRIM(SUBSTITUTE(BL98,CHAR(160),""))),0),2),
" OK : Montant instruit inférieur au montant raisonnable.",
TRUE,""
))</f>
        <v/>
      </c>
      <c r="BO98" s="23" t="str" cm="1">
        <f t="array" ref="BO98">IF(OR(BL98="",AD98="",BJ98="",AB98="",BK98="",AC98=""),"",_xlfn.IFS(
ROUND(IFERROR(VALUE(TRIM(SUBSTITUTE(BL98,CHAR(160),""))),0),2)&gt;
ROUND(IFERROR(VALUE(TRIM(SUBSTITUTE(AD98,CHAR(160),""))),0),2),
"KO : Le montant retenu TTC est supérieur au montant présenté TTC. Merci de revoir la ligne de dépense ou plafonner son montant.",
ROUND(IFERROR(VALUE(TRIM(SUBSTITUTE(BJ98,CHAR(160),""))),0),2)&gt;
ROUND(IFERROR(VALUE(TRIM(SUBSTITUTE(AB98,CHAR(160),""))),0),2),
"Attention : Le montant retenu HT est supérieur au montant HT présenté. Merci de revoir la ligne de dépense, plafonner son montant, ou justifier la reventillation HT / TVA.",
ROUND(IFERROR(VALUE(TRIM(SUBSTITUTE(BK98,CHAR(160),""))),0),2)&gt;
ROUND(IFERROR(VALUE(TRIM(SUBSTITUTE(AC98,CHAR(160),""))),0),2),
"Attention : Le montant TVA retenu est supérieur au montant TVA présenté. Merci de revoir la ligne de dépense, plafonner son montant, ou justifier la reventillation HT / TVA.",
ROUND(IFERROR(VALUE(TRIM(SUBSTITUTE(AD98,CHAR(160),""))),0),2)=0,
"",
ROUND(IFERROR(VALUE(TRIM(SUBSTITUTE(BL98,CHAR(160),""))),0),2)=
ROUND(IFERROR(VALUE(TRIM(SUBSTITUTE(AD98,CHAR(160),""))),0),2),
"OK",
ROUND(IFERROR(VALUE(TRIM(SUBSTITUTE(BL98,CHAR(160),""))),0),2)=0,
"Attention : Montant présenté entièrement rejeté.",
ROUND(IFERROR(VALUE(TRIM(SUBSTITUTE(BL98,CHAR(160),""))),0),2)&lt;
ROUND(IFERROR(VALUE(TRIM(SUBSTITUTE(AD98,CHAR(160),""))),0),2),
"Attention : Montant présenté partiellement rejeté.",
TRUE,""
))</f>
        <v/>
      </c>
      <c r="BP98" s="113" t="str">
        <f t="shared" si="85"/>
        <v/>
      </c>
      <c r="BQ98" s="113" t="str">
        <f t="shared" si="86"/>
        <v/>
      </c>
      <c r="BR98" s="33" t="str">
        <f t="shared" si="87"/>
        <v/>
      </c>
    </row>
    <row r="99" spans="1:70" ht="15" customHeight="1">
      <c r="A99" s="193">
        <v>91</v>
      </c>
      <c r="B99" s="7"/>
      <c r="C99" s="7"/>
      <c r="D99" s="19"/>
      <c r="E99" s="7"/>
      <c r="F99" s="7"/>
      <c r="G99" s="7"/>
      <c r="H99" s="7"/>
      <c r="I99" s="28"/>
      <c r="J99" s="7"/>
      <c r="K99" s="29"/>
      <c r="L99" s="678"/>
      <c r="M99" s="7"/>
      <c r="N99" s="672"/>
      <c r="O99" s="11"/>
      <c r="P99" s="107" t="str">
        <f t="shared" si="52"/>
        <v/>
      </c>
      <c r="Q99" s="699"/>
      <c r="R99" s="703"/>
      <c r="S99" s="684"/>
      <c r="T99" s="11"/>
      <c r="U99" s="107" t="str">
        <f t="shared" si="53"/>
        <v/>
      </c>
      <c r="V99" s="695"/>
      <c r="W99" s="685"/>
      <c r="X99" s="707"/>
      <c r="Y99" s="684"/>
      <c r="Z99" s="108" t="str">
        <f t="shared" si="54"/>
        <v/>
      </c>
      <c r="AA99" s="25"/>
      <c r="AB99" s="287" t="str" cm="1">
        <f t="array" ref="AB99">IF((_xlfn.IFS(TRIM(SUBSTITUTE(AA99,CHAR(160),""))="Devis 1",IFERROR(VALUE(TRIM(SUBSTITUTE(N99,CHAR(160),""))),0),TRIM(SUBSTITUTE(AA99,CHAR(160),""))="Devis 2",IFERROR(VALUE(TRIM(SUBSTITUTE(S99,CHAR(160),""))),0),TRIM(SUBSTITUTE(AA99,CHAR(160),""))="Devis 3",IFERROR(VALUE(TRIM(SUBSTITUTE(X99,CHAR(160),""))),0),TRUE,0)*IFERROR(VALUE(TRIM(SUBSTITUTE(D99,CHAR(160),""))),0))=0,"",_xlfn.IFS(TRIM(SUBSTITUTE(AA99,CHAR(160),""))="Devis 1",IFERROR(VALUE(TRIM(SUBSTITUTE(N99,CHAR(160),""))),0),TRIM(SUBSTITUTE(AA99,CHAR(160),""))="Devis 2",IFERROR(VALUE(TRIM(SUBSTITUTE(S99,CHAR(160),""))),0),TRIM(SUBSTITUTE(AA99,CHAR(160),""))="Devis 3",IFERROR(VALUE(TRIM(SUBSTITUTE(X99,CHAR(160),""))),0),TRUE,0)*IFERROR(VALUE(TRIM(SUBSTITUTE(D99,CHAR(160),""))),0))</f>
        <v/>
      </c>
      <c r="AC99" s="275" t="str" cm="1">
        <f t="array" ref="AC99">IF(_xlfn.IFS(TRIM(SUBSTITUTE(AA99,CHAR(160),""))="Devis 1",IFERROR(VALUE(TRIM(SUBSTITUTE(O99,CHAR(160),""))),0),TRIM(SUBSTITUTE(AA99,CHAR(160),""))="Devis 2",IFERROR(VALUE(TRIM(SUBSTITUTE(T99,CHAR(160),""))),0),TRIM(SUBSTITUTE(AA99,CHAR(160),""))="Devis 3",IFERROR(VALUE(TRIM(SUBSTITUTE(Y99,CHAR(160),""))),0),TRUE,0)*IFERROR(VALUE(TRIM(SUBSTITUTE(D99,CHAR(160),""))),0)=0,IF(AB99&lt;&gt;"",0,""),_xlfn.IFS(TRIM(SUBSTITUTE(AA99,CHAR(160),""))="Devis 1",IFERROR(VALUE(TRIM(SUBSTITUTE(O99,CHAR(160),""))),0),TRIM(SUBSTITUTE(AA99,CHAR(160),""))="Devis 2",IFERROR(VALUE(TRIM(SUBSTITUTE(T99,CHAR(160),""))),0),TRIM(SUBSTITUTE(AA99,CHAR(160),""))="Devis 3",IFERROR(VALUE(TRIM(SUBSTITUTE(Y99,CHAR(160),""))),0),TRUE,0)*IFERROR(VALUE(TRIM(SUBSTITUTE(D99,CHAR(160),""))),0))</f>
        <v/>
      </c>
      <c r="AD99" s="285" t="str">
        <f t="shared" si="88"/>
        <v/>
      </c>
      <c r="AE99" s="26"/>
      <c r="AF99" s="109" t="str">
        <f t="shared" si="55"/>
        <v/>
      </c>
      <c r="AG99" s="109" t="str">
        <f t="shared" si="56"/>
        <v/>
      </c>
      <c r="AH99" s="885" t="str">
        <f t="shared" si="57"/>
        <v/>
      </c>
      <c r="AI99" s="109" t="str">
        <f t="shared" si="58"/>
        <v/>
      </c>
      <c r="AJ99" s="109" t="str">
        <f t="shared" si="59"/>
        <v/>
      </c>
      <c r="AK99" s="109" t="str">
        <f t="shared" si="60"/>
        <v/>
      </c>
      <c r="AL99" s="109" t="str">
        <f t="shared" si="61"/>
        <v/>
      </c>
      <c r="AM99" s="109" t="str">
        <f t="shared" si="62"/>
        <v/>
      </c>
      <c r="AN99" s="109" t="str">
        <f t="shared" si="63"/>
        <v/>
      </c>
      <c r="AO99" s="109" t="str">
        <f t="shared" si="64"/>
        <v/>
      </c>
      <c r="AP99" s="754" t="str">
        <f t="shared" si="65"/>
        <v/>
      </c>
      <c r="AQ99" s="755" t="str">
        <f t="shared" si="66"/>
        <v/>
      </c>
      <c r="AR99" s="195" t="str">
        <f t="shared" si="67"/>
        <v/>
      </c>
      <c r="AS99" s="195" t="str">
        <f t="shared" si="68"/>
        <v/>
      </c>
      <c r="AT99" s="664" t="str">
        <f t="shared" si="69"/>
        <v/>
      </c>
      <c r="AU99" s="756" t="str">
        <f t="shared" si="70"/>
        <v/>
      </c>
      <c r="AV99" s="195" t="str">
        <f t="shared" si="71"/>
        <v/>
      </c>
      <c r="AW99" s="195" t="str">
        <f t="shared" si="72"/>
        <v/>
      </c>
      <c r="AX99" s="195" t="str">
        <f t="shared" si="73"/>
        <v/>
      </c>
      <c r="AY99" s="728" t="str">
        <f t="shared" si="74"/>
        <v/>
      </c>
      <c r="AZ99" s="195" t="str">
        <f t="shared" si="75"/>
        <v/>
      </c>
      <c r="BA99" s="195" t="str">
        <f t="shared" si="76"/>
        <v/>
      </c>
      <c r="BB99" s="195" t="str">
        <f t="shared" si="77"/>
        <v/>
      </c>
      <c r="BC99" s="195" t="str">
        <f t="shared" si="78"/>
        <v/>
      </c>
      <c r="BD99" s="112" t="str">
        <f t="shared" si="79"/>
        <v/>
      </c>
      <c r="BE99" s="109" t="str">
        <f t="shared" si="80"/>
        <v/>
      </c>
      <c r="BF99" s="602"/>
      <c r="BG99" s="113" t="str">
        <f t="shared" si="81"/>
        <v/>
      </c>
      <c r="BH99" s="113" t="str">
        <f t="shared" si="82"/>
        <v/>
      </c>
      <c r="BI99" s="113" t="str">
        <f t="shared" si="83"/>
        <v/>
      </c>
      <c r="BJ99" s="281" t="str" cm="1">
        <f t="array" ref="BJ99">IF($AH99="","",
_xlfn.IFS(
$BE99="Devis 1",
IF(ISBLANK(AR99),"",IFERROR(VALUE(TRIM(SUBSTITUTE(AR99,CHAR(160),""))),0)*IFERROR(VALUE(TRIM(SUBSTITUTE($AH99,CHAR(160),""))),0)),
$BE99="Devis 2",
IF(ISBLANK(AW99),"",IFERROR(VALUE(TRIM(SUBSTITUTE(AW99,CHAR(160),""))),0)*IFERROR(VALUE(TRIM(SUBSTITUTE($AH99,CHAR(160),""))),0)),
$BE99="Devis 3",
IF(ISBLANK(BB99),"",IFERROR(VALUE(TRIM(SUBSTITUTE(BB99,CHAR(160),""))),0)*IFERROR(VALUE(TRIM(SUBSTITUTE($AH99,CHAR(160),""))),0)),
TRUE,0
)
)</f>
        <v/>
      </c>
      <c r="BK99" s="281" t="str" cm="1">
        <f t="array" ref="BK99">IF($AH99="","",
_xlfn.IFS(
$BE99="Devis 1",
IF(ISBLANK(AS99),"",IFERROR(VALUE(TRIM(SUBSTITUTE(AS99,CHAR(160),""))),0)*IFERROR(VALUE(TRIM(SUBSTITUTE($AH99,CHAR(160),""))),0)),
$BE99="Devis 2",
IF(ISBLANK(AX99),"",IFERROR(VALUE(TRIM(SUBSTITUTE(AX99,CHAR(160),""))),0)*IFERROR(VALUE(TRIM(SUBSTITUTE($AH99,CHAR(160),""))),0)),
$BE99="Devis 3",
IF(ISBLANK(BC99),"",IFERROR(VALUE(TRIM(SUBSTITUTE(BC99,CHAR(160),""))),0)*IFERROR(VALUE(TRIM(SUBSTITUTE($AH99,CHAR(160),""))),0)),
TRUE,0
)
)</f>
        <v/>
      </c>
      <c r="BL99" s="281" t="str">
        <f t="shared" si="84"/>
        <v/>
      </c>
      <c r="BM99" s="602"/>
      <c r="BN99" s="23" t="str" cm="1">
        <f t="array" ref="BN99">IF(OR(BL99="",BI99="",BJ99="",BG99="",BK99="",BH99=""),"",_xlfn.IFS(
ROUND(IFERROR(VALUE(TRIM(SUBSTITUTE(BL99,CHAR(160),""))),0),2)&gt;
ROUND(IFERROR(VALUE(TRIM(SUBSTITUTE(BI99,CHAR(160),""))),0),2),
"KO : Le montant retenu TTC est supérieur au montant raisonnable TTC. Merci de revoir la ligne de dépense ou plafonner son montant.",
ROUND(IFERROR(VALUE(TRIM(SUBSTITUTE(BJ99,CHAR(160),""))),0),2)&gt;
ROUND(IFERROR(VALUE(TRIM(SUBSTITUTE(BG99,CHAR(160),""))),0),2),
"Attention : Le montant retenu HT est supérieur au montant HT raisonnable. Merci de revoir la ligne de dépense, plafonner son montant, ou justifier la reventillation HT / TVA.",
ROUND(IFERROR(VALUE(TRIM(SUBSTITUTE(BK99,CHAR(160),""))),0),2)&gt;
ROUND(IFERROR(VALUE(TRIM(SUBSTITUTE(BH99,CHAR(160),""))),0),2),
"Attention : Le montant TVA retenu est supérieur au montant TVA raisonnable. Merci de revoir la ligne de dépense, plafonner son montant, ou justifier la reventillation HT / TVA.",
ROUND(IFERROR(VALUE(TRIM(SUBSTITUTE(BL99,CHAR(160),""))),0),2)&gt;
ROUND(IFERROR(VALUE(TRIM(SUBSTITUTE(MIN(P99,U99,Z99),CHAR(160),""))),0),2),
"Attention : Le devis retenu n'est pas le moins cher. Une justification de la part du porteur est nécessaire.",
ROUND(IFERROR(VALUE(TRIM(SUBSTITUTE(BL99,CHAR(160),""))),0),2)=0,
"Attention : montant présenté entièrement écarté",
ROUND(IFERROR(VALUE(TRIM(SUBSTITUTE(BI99,CHAR(160),""))),0),2)=
ROUND(IFERROR(VALUE(TRIM(SUBSTITUTE(BL99,CHAR(160),""))),0),2),
"OK",
ROUND(IFERROR(VALUE(TRIM(SUBSTITUTE(BI99,CHAR(160),""))),0),2)&gt;
ROUND(IFERROR(VALUE(TRIM(SUBSTITUTE(BL99,CHAR(160),""))),0),2),
" OK : Montant instruit inférieur au montant raisonnable.",
TRUE,""
))</f>
        <v/>
      </c>
      <c r="BO99" s="23" t="str" cm="1">
        <f t="array" ref="BO99">IF(OR(BL99="",AD99="",BJ99="",AB99="",BK99="",AC99=""),"",_xlfn.IFS(
ROUND(IFERROR(VALUE(TRIM(SUBSTITUTE(BL99,CHAR(160),""))),0),2)&gt;
ROUND(IFERROR(VALUE(TRIM(SUBSTITUTE(AD99,CHAR(160),""))),0),2),
"KO : Le montant retenu TTC est supérieur au montant présenté TTC. Merci de revoir la ligne de dépense ou plafonner son montant.",
ROUND(IFERROR(VALUE(TRIM(SUBSTITUTE(BJ99,CHAR(160),""))),0),2)&gt;
ROUND(IFERROR(VALUE(TRIM(SUBSTITUTE(AB99,CHAR(160),""))),0),2),
"Attention : Le montant retenu HT est supérieur au montant HT présenté. Merci de revoir la ligne de dépense, plafonner son montant, ou justifier la reventillation HT / TVA.",
ROUND(IFERROR(VALUE(TRIM(SUBSTITUTE(BK99,CHAR(160),""))),0),2)&gt;
ROUND(IFERROR(VALUE(TRIM(SUBSTITUTE(AC99,CHAR(160),""))),0),2),
"Attention : Le montant TVA retenu est supérieur au montant TVA présenté. Merci de revoir la ligne de dépense, plafonner son montant, ou justifier la reventillation HT / TVA.",
ROUND(IFERROR(VALUE(TRIM(SUBSTITUTE(AD99,CHAR(160),""))),0),2)=0,
"",
ROUND(IFERROR(VALUE(TRIM(SUBSTITUTE(BL99,CHAR(160),""))),0),2)=
ROUND(IFERROR(VALUE(TRIM(SUBSTITUTE(AD99,CHAR(160),""))),0),2),
"OK",
ROUND(IFERROR(VALUE(TRIM(SUBSTITUTE(BL99,CHAR(160),""))),0),2)=0,
"Attention : Montant présenté entièrement rejeté.",
ROUND(IFERROR(VALUE(TRIM(SUBSTITUTE(BL99,CHAR(160),""))),0),2)&lt;
ROUND(IFERROR(VALUE(TRIM(SUBSTITUTE(AD99,CHAR(160),""))),0),2),
"Attention : Montant présenté partiellement rejeté.",
TRUE,""
))</f>
        <v/>
      </c>
      <c r="BP99" s="113" t="str">
        <f t="shared" si="85"/>
        <v/>
      </c>
      <c r="BQ99" s="113" t="str">
        <f t="shared" si="86"/>
        <v/>
      </c>
      <c r="BR99" s="33" t="str">
        <f t="shared" si="87"/>
        <v/>
      </c>
    </row>
    <row r="100" spans="1:70" ht="15" customHeight="1">
      <c r="A100" s="193">
        <v>92</v>
      </c>
      <c r="B100" s="7"/>
      <c r="C100" s="7"/>
      <c r="D100" s="19"/>
      <c r="E100" s="7"/>
      <c r="F100" s="7"/>
      <c r="G100" s="7"/>
      <c r="H100" s="7"/>
      <c r="I100" s="28"/>
      <c r="J100" s="7"/>
      <c r="K100" s="29"/>
      <c r="L100" s="678"/>
      <c r="M100" s="7"/>
      <c r="N100" s="672"/>
      <c r="O100" s="11"/>
      <c r="P100" s="107" t="str">
        <f t="shared" si="52"/>
        <v/>
      </c>
      <c r="Q100" s="699"/>
      <c r="R100" s="705"/>
      <c r="S100" s="684"/>
      <c r="T100" s="11"/>
      <c r="U100" s="107" t="str">
        <f t="shared" si="53"/>
        <v/>
      </c>
      <c r="V100" s="695"/>
      <c r="W100" s="685"/>
      <c r="X100" s="707"/>
      <c r="Y100" s="684"/>
      <c r="Z100" s="108" t="str">
        <f t="shared" si="54"/>
        <v/>
      </c>
      <c r="AA100" s="25"/>
      <c r="AB100" s="287" t="str" cm="1">
        <f t="array" ref="AB100">IF((_xlfn.IFS(TRIM(SUBSTITUTE(AA100,CHAR(160),""))="Devis 1",IFERROR(VALUE(TRIM(SUBSTITUTE(N100,CHAR(160),""))),0),TRIM(SUBSTITUTE(AA100,CHAR(160),""))="Devis 2",IFERROR(VALUE(TRIM(SUBSTITUTE(S100,CHAR(160),""))),0),TRIM(SUBSTITUTE(AA100,CHAR(160),""))="Devis 3",IFERROR(VALUE(TRIM(SUBSTITUTE(X100,CHAR(160),""))),0),TRUE,0)*IFERROR(VALUE(TRIM(SUBSTITUTE(D100,CHAR(160),""))),0))=0,"",_xlfn.IFS(TRIM(SUBSTITUTE(AA100,CHAR(160),""))="Devis 1",IFERROR(VALUE(TRIM(SUBSTITUTE(N100,CHAR(160),""))),0),TRIM(SUBSTITUTE(AA100,CHAR(160),""))="Devis 2",IFERROR(VALUE(TRIM(SUBSTITUTE(S100,CHAR(160),""))),0),TRIM(SUBSTITUTE(AA100,CHAR(160),""))="Devis 3",IFERROR(VALUE(TRIM(SUBSTITUTE(X100,CHAR(160),""))),0),TRUE,0)*IFERROR(VALUE(TRIM(SUBSTITUTE(D100,CHAR(160),""))),0))</f>
        <v/>
      </c>
      <c r="AC100" s="275" t="str" cm="1">
        <f t="array" ref="AC100">IF(_xlfn.IFS(TRIM(SUBSTITUTE(AA100,CHAR(160),""))="Devis 1",IFERROR(VALUE(TRIM(SUBSTITUTE(O100,CHAR(160),""))),0),TRIM(SUBSTITUTE(AA100,CHAR(160),""))="Devis 2",IFERROR(VALUE(TRIM(SUBSTITUTE(T100,CHAR(160),""))),0),TRIM(SUBSTITUTE(AA100,CHAR(160),""))="Devis 3",IFERROR(VALUE(TRIM(SUBSTITUTE(Y100,CHAR(160),""))),0),TRUE,0)*IFERROR(VALUE(TRIM(SUBSTITUTE(D100,CHAR(160),""))),0)=0,IF(AB100&lt;&gt;"",0,""),_xlfn.IFS(TRIM(SUBSTITUTE(AA100,CHAR(160),""))="Devis 1",IFERROR(VALUE(TRIM(SUBSTITUTE(O100,CHAR(160),""))),0),TRIM(SUBSTITUTE(AA100,CHAR(160),""))="Devis 2",IFERROR(VALUE(TRIM(SUBSTITUTE(T100,CHAR(160),""))),0),TRIM(SUBSTITUTE(AA100,CHAR(160),""))="Devis 3",IFERROR(VALUE(TRIM(SUBSTITUTE(Y100,CHAR(160),""))),0),TRUE,0)*IFERROR(VALUE(TRIM(SUBSTITUTE(D100,CHAR(160),""))),0))</f>
        <v/>
      </c>
      <c r="AD100" s="285" t="str">
        <f t="shared" si="88"/>
        <v/>
      </c>
      <c r="AE100" s="26"/>
      <c r="AF100" s="109" t="str">
        <f t="shared" si="55"/>
        <v/>
      </c>
      <c r="AG100" s="109" t="str">
        <f t="shared" si="56"/>
        <v/>
      </c>
      <c r="AH100" s="885" t="str">
        <f t="shared" si="57"/>
        <v/>
      </c>
      <c r="AI100" s="109" t="str">
        <f t="shared" si="58"/>
        <v/>
      </c>
      <c r="AJ100" s="109" t="str">
        <f t="shared" si="59"/>
        <v/>
      </c>
      <c r="AK100" s="109" t="str">
        <f t="shared" si="60"/>
        <v/>
      </c>
      <c r="AL100" s="109" t="str">
        <f t="shared" si="61"/>
        <v/>
      </c>
      <c r="AM100" s="109" t="str">
        <f t="shared" si="62"/>
        <v/>
      </c>
      <c r="AN100" s="109" t="str">
        <f t="shared" si="63"/>
        <v/>
      </c>
      <c r="AO100" s="109" t="str">
        <f t="shared" si="64"/>
        <v/>
      </c>
      <c r="AP100" s="754" t="str">
        <f t="shared" si="65"/>
        <v/>
      </c>
      <c r="AQ100" s="755" t="str">
        <f t="shared" si="66"/>
        <v/>
      </c>
      <c r="AR100" s="195" t="str">
        <f t="shared" si="67"/>
        <v/>
      </c>
      <c r="AS100" s="195" t="str">
        <f t="shared" si="68"/>
        <v/>
      </c>
      <c r="AT100" s="664" t="str">
        <f t="shared" si="69"/>
        <v/>
      </c>
      <c r="AU100" s="756" t="str">
        <f t="shared" si="70"/>
        <v/>
      </c>
      <c r="AV100" s="195" t="str">
        <f t="shared" si="71"/>
        <v/>
      </c>
      <c r="AW100" s="195" t="str">
        <f t="shared" si="72"/>
        <v/>
      </c>
      <c r="AX100" s="195" t="str">
        <f t="shared" si="73"/>
        <v/>
      </c>
      <c r="AY100" s="728" t="str">
        <f t="shared" si="74"/>
        <v/>
      </c>
      <c r="AZ100" s="195" t="str">
        <f t="shared" si="75"/>
        <v/>
      </c>
      <c r="BA100" s="195" t="str">
        <f t="shared" si="76"/>
        <v/>
      </c>
      <c r="BB100" s="195" t="str">
        <f t="shared" si="77"/>
        <v/>
      </c>
      <c r="BC100" s="195" t="str">
        <f t="shared" si="78"/>
        <v/>
      </c>
      <c r="BD100" s="112" t="str">
        <f t="shared" si="79"/>
        <v/>
      </c>
      <c r="BE100" s="109" t="str">
        <f t="shared" si="80"/>
        <v/>
      </c>
      <c r="BF100" s="602"/>
      <c r="BG100" s="113" t="str">
        <f t="shared" si="81"/>
        <v/>
      </c>
      <c r="BH100" s="113" t="str">
        <f t="shared" si="82"/>
        <v/>
      </c>
      <c r="BI100" s="113" t="str">
        <f t="shared" si="83"/>
        <v/>
      </c>
      <c r="BJ100" s="281" t="str" cm="1">
        <f t="array" ref="BJ100">IF($AH100="","",
_xlfn.IFS(
$BE100="Devis 1",
IF(ISBLANK(AR100),"",IFERROR(VALUE(TRIM(SUBSTITUTE(AR100,CHAR(160),""))),0)*IFERROR(VALUE(TRIM(SUBSTITUTE($AH100,CHAR(160),""))),0)),
$BE100="Devis 2",
IF(ISBLANK(AW100),"",IFERROR(VALUE(TRIM(SUBSTITUTE(AW100,CHAR(160),""))),0)*IFERROR(VALUE(TRIM(SUBSTITUTE($AH100,CHAR(160),""))),0)),
$BE100="Devis 3",
IF(ISBLANK(BB100),"",IFERROR(VALUE(TRIM(SUBSTITUTE(BB100,CHAR(160),""))),0)*IFERROR(VALUE(TRIM(SUBSTITUTE($AH100,CHAR(160),""))),0)),
TRUE,0
)
)</f>
        <v/>
      </c>
      <c r="BK100" s="281" t="str" cm="1">
        <f t="array" ref="BK100">IF($AH100="","",
_xlfn.IFS(
$BE100="Devis 1",
IF(ISBLANK(AS100),"",IFERROR(VALUE(TRIM(SUBSTITUTE(AS100,CHAR(160),""))),0)*IFERROR(VALUE(TRIM(SUBSTITUTE($AH100,CHAR(160),""))),0)),
$BE100="Devis 2",
IF(ISBLANK(AX100),"",IFERROR(VALUE(TRIM(SUBSTITUTE(AX100,CHAR(160),""))),0)*IFERROR(VALUE(TRIM(SUBSTITUTE($AH100,CHAR(160),""))),0)),
$BE100="Devis 3",
IF(ISBLANK(BC100),"",IFERROR(VALUE(TRIM(SUBSTITUTE(BC100,CHAR(160),""))),0)*IFERROR(VALUE(TRIM(SUBSTITUTE($AH100,CHAR(160),""))),0)),
TRUE,0
)
)</f>
        <v/>
      </c>
      <c r="BL100" s="281" t="str">
        <f t="shared" si="84"/>
        <v/>
      </c>
      <c r="BM100" s="602"/>
      <c r="BN100" s="23" t="str" cm="1">
        <f t="array" ref="BN100">IF(OR(BL100="",BI100="",BJ100="",BG100="",BK100="",BH100=""),"",_xlfn.IFS(
ROUND(IFERROR(VALUE(TRIM(SUBSTITUTE(BL100,CHAR(160),""))),0),2)&gt;
ROUND(IFERROR(VALUE(TRIM(SUBSTITUTE(BI100,CHAR(160),""))),0),2),
"KO : Le montant retenu TTC est supérieur au montant raisonnable TTC. Merci de revoir la ligne de dépense ou plafonner son montant.",
ROUND(IFERROR(VALUE(TRIM(SUBSTITUTE(BJ100,CHAR(160),""))),0),2)&gt;
ROUND(IFERROR(VALUE(TRIM(SUBSTITUTE(BG100,CHAR(160),""))),0),2),
"Attention : Le montant retenu HT est supérieur au montant HT raisonnable. Merci de revoir la ligne de dépense, plafonner son montant, ou justifier la reventillation HT / TVA.",
ROUND(IFERROR(VALUE(TRIM(SUBSTITUTE(BK100,CHAR(160),""))),0),2)&gt;
ROUND(IFERROR(VALUE(TRIM(SUBSTITUTE(BH100,CHAR(160),""))),0),2),
"Attention : Le montant TVA retenu est supérieur au montant TVA raisonnable. Merci de revoir la ligne de dépense, plafonner son montant, ou justifier la reventillation HT / TVA.",
ROUND(IFERROR(VALUE(TRIM(SUBSTITUTE(BL100,CHAR(160),""))),0),2)&gt;
ROUND(IFERROR(VALUE(TRIM(SUBSTITUTE(MIN(P100,U100,Z100),CHAR(160),""))),0),2),
"Attention : Le devis retenu n'est pas le moins cher. Une justification de la part du porteur est nécessaire.",
ROUND(IFERROR(VALUE(TRIM(SUBSTITUTE(BL100,CHAR(160),""))),0),2)=0,
"Attention : montant présenté entièrement écarté",
ROUND(IFERROR(VALUE(TRIM(SUBSTITUTE(BI100,CHAR(160),""))),0),2)=
ROUND(IFERROR(VALUE(TRIM(SUBSTITUTE(BL100,CHAR(160),""))),0),2),
"OK",
ROUND(IFERROR(VALUE(TRIM(SUBSTITUTE(BI100,CHAR(160),""))),0),2)&gt;
ROUND(IFERROR(VALUE(TRIM(SUBSTITUTE(BL100,CHAR(160),""))),0),2),
" OK : Montant instruit inférieur au montant raisonnable.",
TRUE,""
))</f>
        <v/>
      </c>
      <c r="BO100" s="23" t="str" cm="1">
        <f t="array" ref="BO100">IF(OR(BL100="",AD100="",BJ100="",AB100="",BK100="",AC100=""),"",_xlfn.IFS(
ROUND(IFERROR(VALUE(TRIM(SUBSTITUTE(BL100,CHAR(160),""))),0),2)&gt;
ROUND(IFERROR(VALUE(TRIM(SUBSTITUTE(AD100,CHAR(160),""))),0),2),
"KO : Le montant retenu TTC est supérieur au montant présenté TTC. Merci de revoir la ligne de dépense ou plafonner son montant.",
ROUND(IFERROR(VALUE(TRIM(SUBSTITUTE(BJ100,CHAR(160),""))),0),2)&gt;
ROUND(IFERROR(VALUE(TRIM(SUBSTITUTE(AB100,CHAR(160),""))),0),2),
"Attention : Le montant retenu HT est supérieur au montant HT présenté. Merci de revoir la ligne de dépense, plafonner son montant, ou justifier la reventillation HT / TVA.",
ROUND(IFERROR(VALUE(TRIM(SUBSTITUTE(BK100,CHAR(160),""))),0),2)&gt;
ROUND(IFERROR(VALUE(TRIM(SUBSTITUTE(AC100,CHAR(160),""))),0),2),
"Attention : Le montant TVA retenu est supérieur au montant TVA présenté. Merci de revoir la ligne de dépense, plafonner son montant, ou justifier la reventillation HT / TVA.",
ROUND(IFERROR(VALUE(TRIM(SUBSTITUTE(AD100,CHAR(160),""))),0),2)=0,
"",
ROUND(IFERROR(VALUE(TRIM(SUBSTITUTE(BL100,CHAR(160),""))),0),2)=
ROUND(IFERROR(VALUE(TRIM(SUBSTITUTE(AD100,CHAR(160),""))),0),2),
"OK",
ROUND(IFERROR(VALUE(TRIM(SUBSTITUTE(BL100,CHAR(160),""))),0),2)=0,
"Attention : Montant présenté entièrement rejeté.",
ROUND(IFERROR(VALUE(TRIM(SUBSTITUTE(BL100,CHAR(160),""))),0),2)&lt;
ROUND(IFERROR(VALUE(TRIM(SUBSTITUTE(AD100,CHAR(160),""))),0),2),
"Attention : Montant présenté partiellement rejeté.",
TRUE,""
))</f>
        <v/>
      </c>
      <c r="BP100" s="113" t="str">
        <f t="shared" si="85"/>
        <v/>
      </c>
      <c r="BQ100" s="113" t="str">
        <f t="shared" si="86"/>
        <v/>
      </c>
      <c r="BR100" s="33" t="str">
        <f t="shared" si="87"/>
        <v/>
      </c>
    </row>
    <row r="101" spans="1:70" ht="15" customHeight="1">
      <c r="A101" s="193">
        <v>93</v>
      </c>
      <c r="B101" s="7"/>
      <c r="C101" s="7"/>
      <c r="D101" s="19"/>
      <c r="E101" s="7"/>
      <c r="F101" s="7"/>
      <c r="G101" s="7"/>
      <c r="H101" s="7"/>
      <c r="I101" s="28"/>
      <c r="J101" s="7"/>
      <c r="K101" s="29"/>
      <c r="L101" s="678"/>
      <c r="M101" s="7"/>
      <c r="N101" s="672"/>
      <c r="O101" s="11"/>
      <c r="P101" s="107" t="str">
        <f t="shared" si="52"/>
        <v/>
      </c>
      <c r="Q101" s="699"/>
      <c r="R101" s="702"/>
      <c r="S101" s="684"/>
      <c r="T101" s="11"/>
      <c r="U101" s="107" t="str">
        <f t="shared" si="53"/>
        <v/>
      </c>
      <c r="V101" s="695"/>
      <c r="W101" s="685"/>
      <c r="X101" s="707"/>
      <c r="Y101" s="684"/>
      <c r="Z101" s="108" t="str">
        <f t="shared" si="54"/>
        <v/>
      </c>
      <c r="AA101" s="25"/>
      <c r="AB101" s="287" t="str" cm="1">
        <f t="array" ref="AB101">IF((_xlfn.IFS(TRIM(SUBSTITUTE(AA101,CHAR(160),""))="Devis 1",IFERROR(VALUE(TRIM(SUBSTITUTE(N101,CHAR(160),""))),0),TRIM(SUBSTITUTE(AA101,CHAR(160),""))="Devis 2",IFERROR(VALUE(TRIM(SUBSTITUTE(S101,CHAR(160),""))),0),TRIM(SUBSTITUTE(AA101,CHAR(160),""))="Devis 3",IFERROR(VALUE(TRIM(SUBSTITUTE(X101,CHAR(160),""))),0),TRUE,0)*IFERROR(VALUE(TRIM(SUBSTITUTE(D101,CHAR(160),""))),0))=0,"",_xlfn.IFS(TRIM(SUBSTITUTE(AA101,CHAR(160),""))="Devis 1",IFERROR(VALUE(TRIM(SUBSTITUTE(N101,CHAR(160),""))),0),TRIM(SUBSTITUTE(AA101,CHAR(160),""))="Devis 2",IFERROR(VALUE(TRIM(SUBSTITUTE(S101,CHAR(160),""))),0),TRIM(SUBSTITUTE(AA101,CHAR(160),""))="Devis 3",IFERROR(VALUE(TRIM(SUBSTITUTE(X101,CHAR(160),""))),0),TRUE,0)*IFERROR(VALUE(TRIM(SUBSTITUTE(D101,CHAR(160),""))),0))</f>
        <v/>
      </c>
      <c r="AC101" s="275" t="str" cm="1">
        <f t="array" ref="AC101">IF(_xlfn.IFS(TRIM(SUBSTITUTE(AA101,CHAR(160),""))="Devis 1",IFERROR(VALUE(TRIM(SUBSTITUTE(O101,CHAR(160),""))),0),TRIM(SUBSTITUTE(AA101,CHAR(160),""))="Devis 2",IFERROR(VALUE(TRIM(SUBSTITUTE(T101,CHAR(160),""))),0),TRIM(SUBSTITUTE(AA101,CHAR(160),""))="Devis 3",IFERROR(VALUE(TRIM(SUBSTITUTE(Y101,CHAR(160),""))),0),TRUE,0)*IFERROR(VALUE(TRIM(SUBSTITUTE(D101,CHAR(160),""))),0)=0,IF(AB101&lt;&gt;"",0,""),_xlfn.IFS(TRIM(SUBSTITUTE(AA101,CHAR(160),""))="Devis 1",IFERROR(VALUE(TRIM(SUBSTITUTE(O101,CHAR(160),""))),0),TRIM(SUBSTITUTE(AA101,CHAR(160),""))="Devis 2",IFERROR(VALUE(TRIM(SUBSTITUTE(T101,CHAR(160),""))),0),TRIM(SUBSTITUTE(AA101,CHAR(160),""))="Devis 3",IFERROR(VALUE(TRIM(SUBSTITUTE(Y101,CHAR(160),""))),0),TRUE,0)*IFERROR(VALUE(TRIM(SUBSTITUTE(D101,CHAR(160),""))),0))</f>
        <v/>
      </c>
      <c r="AD101" s="285" t="str">
        <f t="shared" si="88"/>
        <v/>
      </c>
      <c r="AE101" s="26"/>
      <c r="AF101" s="109" t="str">
        <f t="shared" si="55"/>
        <v/>
      </c>
      <c r="AG101" s="109" t="str">
        <f t="shared" si="56"/>
        <v/>
      </c>
      <c r="AH101" s="885" t="str">
        <f t="shared" si="57"/>
        <v/>
      </c>
      <c r="AI101" s="109" t="str">
        <f t="shared" si="58"/>
        <v/>
      </c>
      <c r="AJ101" s="109" t="str">
        <f t="shared" si="59"/>
        <v/>
      </c>
      <c r="AK101" s="109" t="str">
        <f t="shared" si="60"/>
        <v/>
      </c>
      <c r="AL101" s="109" t="str">
        <f t="shared" si="61"/>
        <v/>
      </c>
      <c r="AM101" s="109" t="str">
        <f t="shared" si="62"/>
        <v/>
      </c>
      <c r="AN101" s="109" t="str">
        <f t="shared" si="63"/>
        <v/>
      </c>
      <c r="AO101" s="109" t="str">
        <f t="shared" si="64"/>
        <v/>
      </c>
      <c r="AP101" s="754" t="str">
        <f t="shared" si="65"/>
        <v/>
      </c>
      <c r="AQ101" s="755" t="str">
        <f t="shared" si="66"/>
        <v/>
      </c>
      <c r="AR101" s="195" t="str">
        <f t="shared" si="67"/>
        <v/>
      </c>
      <c r="AS101" s="195" t="str">
        <f t="shared" si="68"/>
        <v/>
      </c>
      <c r="AT101" s="664" t="str">
        <f t="shared" si="69"/>
        <v/>
      </c>
      <c r="AU101" s="756" t="str">
        <f t="shared" si="70"/>
        <v/>
      </c>
      <c r="AV101" s="195" t="str">
        <f t="shared" si="71"/>
        <v/>
      </c>
      <c r="AW101" s="195" t="str">
        <f t="shared" si="72"/>
        <v/>
      </c>
      <c r="AX101" s="195" t="str">
        <f t="shared" si="73"/>
        <v/>
      </c>
      <c r="AY101" s="728" t="str">
        <f t="shared" si="74"/>
        <v/>
      </c>
      <c r="AZ101" s="195" t="str">
        <f t="shared" si="75"/>
        <v/>
      </c>
      <c r="BA101" s="195" t="str">
        <f t="shared" si="76"/>
        <v/>
      </c>
      <c r="BB101" s="195" t="str">
        <f t="shared" si="77"/>
        <v/>
      </c>
      <c r="BC101" s="195" t="str">
        <f t="shared" si="78"/>
        <v/>
      </c>
      <c r="BD101" s="112" t="str">
        <f t="shared" si="79"/>
        <v/>
      </c>
      <c r="BE101" s="109" t="str">
        <f t="shared" si="80"/>
        <v/>
      </c>
      <c r="BF101" s="602"/>
      <c r="BG101" s="113" t="str">
        <f t="shared" si="81"/>
        <v/>
      </c>
      <c r="BH101" s="113" t="str">
        <f t="shared" si="82"/>
        <v/>
      </c>
      <c r="BI101" s="113" t="str">
        <f t="shared" si="83"/>
        <v/>
      </c>
      <c r="BJ101" s="281" t="str" cm="1">
        <f t="array" ref="BJ101">IF($AH101="","",
_xlfn.IFS(
$BE101="Devis 1",
IF(ISBLANK(AR101),"",IFERROR(VALUE(TRIM(SUBSTITUTE(AR101,CHAR(160),""))),0)*IFERROR(VALUE(TRIM(SUBSTITUTE($AH101,CHAR(160),""))),0)),
$BE101="Devis 2",
IF(ISBLANK(AW101),"",IFERROR(VALUE(TRIM(SUBSTITUTE(AW101,CHAR(160),""))),0)*IFERROR(VALUE(TRIM(SUBSTITUTE($AH101,CHAR(160),""))),0)),
$BE101="Devis 3",
IF(ISBLANK(BB101),"",IFERROR(VALUE(TRIM(SUBSTITUTE(BB101,CHAR(160),""))),0)*IFERROR(VALUE(TRIM(SUBSTITUTE($AH101,CHAR(160),""))),0)),
TRUE,0
)
)</f>
        <v/>
      </c>
      <c r="BK101" s="281" t="str" cm="1">
        <f t="array" ref="BK101">IF($AH101="","",
_xlfn.IFS(
$BE101="Devis 1",
IF(ISBLANK(AS101),"",IFERROR(VALUE(TRIM(SUBSTITUTE(AS101,CHAR(160),""))),0)*IFERROR(VALUE(TRIM(SUBSTITUTE($AH101,CHAR(160),""))),0)),
$BE101="Devis 2",
IF(ISBLANK(AX101),"",IFERROR(VALUE(TRIM(SUBSTITUTE(AX101,CHAR(160),""))),0)*IFERROR(VALUE(TRIM(SUBSTITUTE($AH101,CHAR(160),""))),0)),
$BE101="Devis 3",
IF(ISBLANK(BC101),"",IFERROR(VALUE(TRIM(SUBSTITUTE(BC101,CHAR(160),""))),0)*IFERROR(VALUE(TRIM(SUBSTITUTE($AH101,CHAR(160),""))),0)),
TRUE,0
)
)</f>
        <v/>
      </c>
      <c r="BL101" s="281" t="str">
        <f t="shared" si="84"/>
        <v/>
      </c>
      <c r="BM101" s="602"/>
      <c r="BN101" s="23" t="str" cm="1">
        <f t="array" ref="BN101">IF(OR(BL101="",BI101="",BJ101="",BG101="",BK101="",BH101=""),"",_xlfn.IFS(
ROUND(IFERROR(VALUE(TRIM(SUBSTITUTE(BL101,CHAR(160),""))),0),2)&gt;
ROUND(IFERROR(VALUE(TRIM(SUBSTITUTE(BI101,CHAR(160),""))),0),2),
"KO : Le montant retenu TTC est supérieur au montant raisonnable TTC. Merci de revoir la ligne de dépense ou plafonner son montant.",
ROUND(IFERROR(VALUE(TRIM(SUBSTITUTE(BJ101,CHAR(160),""))),0),2)&gt;
ROUND(IFERROR(VALUE(TRIM(SUBSTITUTE(BG101,CHAR(160),""))),0),2),
"Attention : Le montant retenu HT est supérieur au montant HT raisonnable. Merci de revoir la ligne de dépense, plafonner son montant, ou justifier la reventillation HT / TVA.",
ROUND(IFERROR(VALUE(TRIM(SUBSTITUTE(BK101,CHAR(160),""))),0),2)&gt;
ROUND(IFERROR(VALUE(TRIM(SUBSTITUTE(BH101,CHAR(160),""))),0),2),
"Attention : Le montant TVA retenu est supérieur au montant TVA raisonnable. Merci de revoir la ligne de dépense, plafonner son montant, ou justifier la reventillation HT / TVA.",
ROUND(IFERROR(VALUE(TRIM(SUBSTITUTE(BL101,CHAR(160),""))),0),2)&gt;
ROUND(IFERROR(VALUE(TRIM(SUBSTITUTE(MIN(P101,U101,Z101),CHAR(160),""))),0),2),
"Attention : Le devis retenu n'est pas le moins cher. Une justification de la part du porteur est nécessaire.",
ROUND(IFERROR(VALUE(TRIM(SUBSTITUTE(BL101,CHAR(160),""))),0),2)=0,
"Attention : montant présenté entièrement écarté",
ROUND(IFERROR(VALUE(TRIM(SUBSTITUTE(BI101,CHAR(160),""))),0),2)=
ROUND(IFERROR(VALUE(TRIM(SUBSTITUTE(BL101,CHAR(160),""))),0),2),
"OK",
ROUND(IFERROR(VALUE(TRIM(SUBSTITUTE(BI101,CHAR(160),""))),0),2)&gt;
ROUND(IFERROR(VALUE(TRIM(SUBSTITUTE(BL101,CHAR(160),""))),0),2),
" OK : Montant instruit inférieur au montant raisonnable.",
TRUE,""
))</f>
        <v/>
      </c>
      <c r="BO101" s="23" t="str" cm="1">
        <f t="array" ref="BO101">IF(OR(BL101="",AD101="",BJ101="",AB101="",BK101="",AC101=""),"",_xlfn.IFS(
ROUND(IFERROR(VALUE(TRIM(SUBSTITUTE(BL101,CHAR(160),""))),0),2)&gt;
ROUND(IFERROR(VALUE(TRIM(SUBSTITUTE(AD101,CHAR(160),""))),0),2),
"KO : Le montant retenu TTC est supérieur au montant présenté TTC. Merci de revoir la ligne de dépense ou plafonner son montant.",
ROUND(IFERROR(VALUE(TRIM(SUBSTITUTE(BJ101,CHAR(160),""))),0),2)&gt;
ROUND(IFERROR(VALUE(TRIM(SUBSTITUTE(AB101,CHAR(160),""))),0),2),
"Attention : Le montant retenu HT est supérieur au montant HT présenté. Merci de revoir la ligne de dépense, plafonner son montant, ou justifier la reventillation HT / TVA.",
ROUND(IFERROR(VALUE(TRIM(SUBSTITUTE(BK101,CHAR(160),""))),0),2)&gt;
ROUND(IFERROR(VALUE(TRIM(SUBSTITUTE(AC101,CHAR(160),""))),0),2),
"Attention : Le montant TVA retenu est supérieur au montant TVA présenté. Merci de revoir la ligne de dépense, plafonner son montant, ou justifier la reventillation HT / TVA.",
ROUND(IFERROR(VALUE(TRIM(SUBSTITUTE(AD101,CHAR(160),""))),0),2)=0,
"",
ROUND(IFERROR(VALUE(TRIM(SUBSTITUTE(BL101,CHAR(160),""))),0),2)=
ROUND(IFERROR(VALUE(TRIM(SUBSTITUTE(AD101,CHAR(160),""))),0),2),
"OK",
ROUND(IFERROR(VALUE(TRIM(SUBSTITUTE(BL101,CHAR(160),""))),0),2)=0,
"Attention : Montant présenté entièrement rejeté.",
ROUND(IFERROR(VALUE(TRIM(SUBSTITUTE(BL101,CHAR(160),""))),0),2)&lt;
ROUND(IFERROR(VALUE(TRIM(SUBSTITUTE(AD101,CHAR(160),""))),0),2),
"Attention : Montant présenté partiellement rejeté.",
TRUE,""
))</f>
        <v/>
      </c>
      <c r="BP101" s="113" t="str">
        <f t="shared" si="85"/>
        <v/>
      </c>
      <c r="BQ101" s="113" t="str">
        <f t="shared" si="86"/>
        <v/>
      </c>
      <c r="BR101" s="33" t="str">
        <f t="shared" si="87"/>
        <v/>
      </c>
    </row>
    <row r="102" spans="1:70" ht="15" customHeight="1">
      <c r="A102" s="193">
        <v>94</v>
      </c>
      <c r="B102" s="7"/>
      <c r="C102" s="7"/>
      <c r="D102" s="19"/>
      <c r="E102" s="7"/>
      <c r="F102" s="7"/>
      <c r="G102" s="7"/>
      <c r="H102" s="7"/>
      <c r="I102" s="28"/>
      <c r="J102" s="7"/>
      <c r="K102" s="29"/>
      <c r="L102" s="678"/>
      <c r="M102" s="7"/>
      <c r="N102" s="672"/>
      <c r="O102" s="11"/>
      <c r="P102" s="107" t="str">
        <f t="shared" si="52"/>
        <v/>
      </c>
      <c r="Q102" s="699"/>
      <c r="R102" s="702"/>
      <c r="S102" s="684"/>
      <c r="T102" s="11"/>
      <c r="U102" s="107" t="str">
        <f t="shared" si="53"/>
        <v/>
      </c>
      <c r="V102" s="695"/>
      <c r="W102" s="685"/>
      <c r="X102" s="707"/>
      <c r="Y102" s="684"/>
      <c r="Z102" s="108" t="str">
        <f t="shared" si="54"/>
        <v/>
      </c>
      <c r="AA102" s="25"/>
      <c r="AB102" s="287" t="str" cm="1">
        <f t="array" ref="AB102">IF((_xlfn.IFS(TRIM(SUBSTITUTE(AA102,CHAR(160),""))="Devis 1",IFERROR(VALUE(TRIM(SUBSTITUTE(N102,CHAR(160),""))),0),TRIM(SUBSTITUTE(AA102,CHAR(160),""))="Devis 2",IFERROR(VALUE(TRIM(SUBSTITUTE(S102,CHAR(160),""))),0),TRIM(SUBSTITUTE(AA102,CHAR(160),""))="Devis 3",IFERROR(VALUE(TRIM(SUBSTITUTE(X102,CHAR(160),""))),0),TRUE,0)*IFERROR(VALUE(TRIM(SUBSTITUTE(D102,CHAR(160),""))),0))=0,"",_xlfn.IFS(TRIM(SUBSTITUTE(AA102,CHAR(160),""))="Devis 1",IFERROR(VALUE(TRIM(SUBSTITUTE(N102,CHAR(160),""))),0),TRIM(SUBSTITUTE(AA102,CHAR(160),""))="Devis 2",IFERROR(VALUE(TRIM(SUBSTITUTE(S102,CHAR(160),""))),0),TRIM(SUBSTITUTE(AA102,CHAR(160),""))="Devis 3",IFERROR(VALUE(TRIM(SUBSTITUTE(X102,CHAR(160),""))),0),TRUE,0)*IFERROR(VALUE(TRIM(SUBSTITUTE(D102,CHAR(160),""))),0))</f>
        <v/>
      </c>
      <c r="AC102" s="275" t="str" cm="1">
        <f t="array" ref="AC102">IF(_xlfn.IFS(TRIM(SUBSTITUTE(AA102,CHAR(160),""))="Devis 1",IFERROR(VALUE(TRIM(SUBSTITUTE(O102,CHAR(160),""))),0),TRIM(SUBSTITUTE(AA102,CHAR(160),""))="Devis 2",IFERROR(VALUE(TRIM(SUBSTITUTE(T102,CHAR(160),""))),0),TRIM(SUBSTITUTE(AA102,CHAR(160),""))="Devis 3",IFERROR(VALUE(TRIM(SUBSTITUTE(Y102,CHAR(160),""))),0),TRUE,0)*IFERROR(VALUE(TRIM(SUBSTITUTE(D102,CHAR(160),""))),0)=0,IF(AB102&lt;&gt;"",0,""),_xlfn.IFS(TRIM(SUBSTITUTE(AA102,CHAR(160),""))="Devis 1",IFERROR(VALUE(TRIM(SUBSTITUTE(O102,CHAR(160),""))),0),TRIM(SUBSTITUTE(AA102,CHAR(160),""))="Devis 2",IFERROR(VALUE(TRIM(SUBSTITUTE(T102,CHAR(160),""))),0),TRIM(SUBSTITUTE(AA102,CHAR(160),""))="Devis 3",IFERROR(VALUE(TRIM(SUBSTITUTE(Y102,CHAR(160),""))),0),TRUE,0)*IFERROR(VALUE(TRIM(SUBSTITUTE(D102,CHAR(160),""))),0))</f>
        <v/>
      </c>
      <c r="AD102" s="285" t="str">
        <f t="shared" si="88"/>
        <v/>
      </c>
      <c r="AE102" s="26"/>
      <c r="AF102" s="109" t="str">
        <f t="shared" si="55"/>
        <v/>
      </c>
      <c r="AG102" s="109" t="str">
        <f t="shared" si="56"/>
        <v/>
      </c>
      <c r="AH102" s="885" t="str">
        <f t="shared" si="57"/>
        <v/>
      </c>
      <c r="AI102" s="109" t="str">
        <f t="shared" si="58"/>
        <v/>
      </c>
      <c r="AJ102" s="109" t="str">
        <f t="shared" si="59"/>
        <v/>
      </c>
      <c r="AK102" s="109" t="str">
        <f t="shared" si="60"/>
        <v/>
      </c>
      <c r="AL102" s="109" t="str">
        <f t="shared" si="61"/>
        <v/>
      </c>
      <c r="AM102" s="109" t="str">
        <f t="shared" si="62"/>
        <v/>
      </c>
      <c r="AN102" s="109" t="str">
        <f t="shared" si="63"/>
        <v/>
      </c>
      <c r="AO102" s="109" t="str">
        <f t="shared" si="64"/>
        <v/>
      </c>
      <c r="AP102" s="754" t="str">
        <f t="shared" si="65"/>
        <v/>
      </c>
      <c r="AQ102" s="755" t="str">
        <f t="shared" si="66"/>
        <v/>
      </c>
      <c r="AR102" s="195" t="str">
        <f t="shared" si="67"/>
        <v/>
      </c>
      <c r="AS102" s="195" t="str">
        <f t="shared" si="68"/>
        <v/>
      </c>
      <c r="AT102" s="664" t="str">
        <f t="shared" si="69"/>
        <v/>
      </c>
      <c r="AU102" s="756" t="str">
        <f t="shared" si="70"/>
        <v/>
      </c>
      <c r="AV102" s="195" t="str">
        <f t="shared" si="71"/>
        <v/>
      </c>
      <c r="AW102" s="195" t="str">
        <f t="shared" si="72"/>
        <v/>
      </c>
      <c r="AX102" s="195" t="str">
        <f t="shared" si="73"/>
        <v/>
      </c>
      <c r="AY102" s="728" t="str">
        <f t="shared" si="74"/>
        <v/>
      </c>
      <c r="AZ102" s="195" t="str">
        <f t="shared" si="75"/>
        <v/>
      </c>
      <c r="BA102" s="195" t="str">
        <f t="shared" si="76"/>
        <v/>
      </c>
      <c r="BB102" s="195" t="str">
        <f t="shared" si="77"/>
        <v/>
      </c>
      <c r="BC102" s="195" t="str">
        <f t="shared" si="78"/>
        <v/>
      </c>
      <c r="BD102" s="112" t="str">
        <f t="shared" si="79"/>
        <v/>
      </c>
      <c r="BE102" s="109" t="str">
        <f t="shared" si="80"/>
        <v/>
      </c>
      <c r="BF102" s="602"/>
      <c r="BG102" s="113" t="str">
        <f t="shared" si="81"/>
        <v/>
      </c>
      <c r="BH102" s="113" t="str">
        <f t="shared" si="82"/>
        <v/>
      </c>
      <c r="BI102" s="113" t="str">
        <f t="shared" si="83"/>
        <v/>
      </c>
      <c r="BJ102" s="281" t="str" cm="1">
        <f t="array" ref="BJ102">IF($AH102="","",
_xlfn.IFS(
$BE102="Devis 1",
IF(ISBLANK(AR102),"",IFERROR(VALUE(TRIM(SUBSTITUTE(AR102,CHAR(160),""))),0)*IFERROR(VALUE(TRIM(SUBSTITUTE($AH102,CHAR(160),""))),0)),
$BE102="Devis 2",
IF(ISBLANK(AW102),"",IFERROR(VALUE(TRIM(SUBSTITUTE(AW102,CHAR(160),""))),0)*IFERROR(VALUE(TRIM(SUBSTITUTE($AH102,CHAR(160),""))),0)),
$BE102="Devis 3",
IF(ISBLANK(BB102),"",IFERROR(VALUE(TRIM(SUBSTITUTE(BB102,CHAR(160),""))),0)*IFERROR(VALUE(TRIM(SUBSTITUTE($AH102,CHAR(160),""))),0)),
TRUE,0
)
)</f>
        <v/>
      </c>
      <c r="BK102" s="281" t="str" cm="1">
        <f t="array" ref="BK102">IF($AH102="","",
_xlfn.IFS(
$BE102="Devis 1",
IF(ISBLANK(AS102),"",IFERROR(VALUE(TRIM(SUBSTITUTE(AS102,CHAR(160),""))),0)*IFERROR(VALUE(TRIM(SUBSTITUTE($AH102,CHAR(160),""))),0)),
$BE102="Devis 2",
IF(ISBLANK(AX102),"",IFERROR(VALUE(TRIM(SUBSTITUTE(AX102,CHAR(160),""))),0)*IFERROR(VALUE(TRIM(SUBSTITUTE($AH102,CHAR(160),""))),0)),
$BE102="Devis 3",
IF(ISBLANK(BC102),"",IFERROR(VALUE(TRIM(SUBSTITUTE(BC102,CHAR(160),""))),0)*IFERROR(VALUE(TRIM(SUBSTITUTE($AH102,CHAR(160),""))),0)),
TRUE,0
)
)</f>
        <v/>
      </c>
      <c r="BL102" s="281" t="str">
        <f t="shared" si="84"/>
        <v/>
      </c>
      <c r="BM102" s="602"/>
      <c r="BN102" s="23" t="str" cm="1">
        <f t="array" ref="BN102">IF(OR(BL102="",BI102="",BJ102="",BG102="",BK102="",BH102=""),"",_xlfn.IFS(
ROUND(IFERROR(VALUE(TRIM(SUBSTITUTE(BL102,CHAR(160),""))),0),2)&gt;
ROUND(IFERROR(VALUE(TRIM(SUBSTITUTE(BI102,CHAR(160),""))),0),2),
"KO : Le montant retenu TTC est supérieur au montant raisonnable TTC. Merci de revoir la ligne de dépense ou plafonner son montant.",
ROUND(IFERROR(VALUE(TRIM(SUBSTITUTE(BJ102,CHAR(160),""))),0),2)&gt;
ROUND(IFERROR(VALUE(TRIM(SUBSTITUTE(BG102,CHAR(160),""))),0),2),
"Attention : Le montant retenu HT est supérieur au montant HT raisonnable. Merci de revoir la ligne de dépense, plafonner son montant, ou justifier la reventillation HT / TVA.",
ROUND(IFERROR(VALUE(TRIM(SUBSTITUTE(BK102,CHAR(160),""))),0),2)&gt;
ROUND(IFERROR(VALUE(TRIM(SUBSTITUTE(BH102,CHAR(160),""))),0),2),
"Attention : Le montant TVA retenu est supérieur au montant TVA raisonnable. Merci de revoir la ligne de dépense, plafonner son montant, ou justifier la reventillation HT / TVA.",
ROUND(IFERROR(VALUE(TRIM(SUBSTITUTE(BL102,CHAR(160),""))),0),2)&gt;
ROUND(IFERROR(VALUE(TRIM(SUBSTITUTE(MIN(P102,U102,Z102),CHAR(160),""))),0),2),
"Attention : Le devis retenu n'est pas le moins cher. Une justification de la part du porteur est nécessaire.",
ROUND(IFERROR(VALUE(TRIM(SUBSTITUTE(BL102,CHAR(160),""))),0),2)=0,
"Attention : montant présenté entièrement écarté",
ROUND(IFERROR(VALUE(TRIM(SUBSTITUTE(BI102,CHAR(160),""))),0),2)=
ROUND(IFERROR(VALUE(TRIM(SUBSTITUTE(BL102,CHAR(160),""))),0),2),
"OK",
ROUND(IFERROR(VALUE(TRIM(SUBSTITUTE(BI102,CHAR(160),""))),0),2)&gt;
ROUND(IFERROR(VALUE(TRIM(SUBSTITUTE(BL102,CHAR(160),""))),0),2),
" OK : Montant instruit inférieur au montant raisonnable.",
TRUE,""
))</f>
        <v/>
      </c>
      <c r="BO102" s="23" t="str" cm="1">
        <f t="array" ref="BO102">IF(OR(BL102="",AD102="",BJ102="",AB102="",BK102="",AC102=""),"",_xlfn.IFS(
ROUND(IFERROR(VALUE(TRIM(SUBSTITUTE(BL102,CHAR(160),""))),0),2)&gt;
ROUND(IFERROR(VALUE(TRIM(SUBSTITUTE(AD102,CHAR(160),""))),0),2),
"KO : Le montant retenu TTC est supérieur au montant présenté TTC. Merci de revoir la ligne de dépense ou plafonner son montant.",
ROUND(IFERROR(VALUE(TRIM(SUBSTITUTE(BJ102,CHAR(160),""))),0),2)&gt;
ROUND(IFERROR(VALUE(TRIM(SUBSTITUTE(AB102,CHAR(160),""))),0),2),
"Attention : Le montant retenu HT est supérieur au montant HT présenté. Merci de revoir la ligne de dépense, plafonner son montant, ou justifier la reventillation HT / TVA.",
ROUND(IFERROR(VALUE(TRIM(SUBSTITUTE(BK102,CHAR(160),""))),0),2)&gt;
ROUND(IFERROR(VALUE(TRIM(SUBSTITUTE(AC102,CHAR(160),""))),0),2),
"Attention : Le montant TVA retenu est supérieur au montant TVA présenté. Merci de revoir la ligne de dépense, plafonner son montant, ou justifier la reventillation HT / TVA.",
ROUND(IFERROR(VALUE(TRIM(SUBSTITUTE(AD102,CHAR(160),""))),0),2)=0,
"",
ROUND(IFERROR(VALUE(TRIM(SUBSTITUTE(BL102,CHAR(160),""))),0),2)=
ROUND(IFERROR(VALUE(TRIM(SUBSTITUTE(AD102,CHAR(160),""))),0),2),
"OK",
ROUND(IFERROR(VALUE(TRIM(SUBSTITUTE(BL102,CHAR(160),""))),0),2)=0,
"Attention : Montant présenté entièrement rejeté.",
ROUND(IFERROR(VALUE(TRIM(SUBSTITUTE(BL102,CHAR(160),""))),0),2)&lt;
ROUND(IFERROR(VALUE(TRIM(SUBSTITUTE(AD102,CHAR(160),""))),0),2),
"Attention : Montant présenté partiellement rejeté.",
TRUE,""
))</f>
        <v/>
      </c>
      <c r="BP102" s="113" t="str">
        <f t="shared" si="85"/>
        <v/>
      </c>
      <c r="BQ102" s="113" t="str">
        <f t="shared" si="86"/>
        <v/>
      </c>
      <c r="BR102" s="33" t="str">
        <f t="shared" si="87"/>
        <v/>
      </c>
    </row>
    <row r="103" spans="1:70" ht="15" customHeight="1">
      <c r="A103" s="193">
        <v>95</v>
      </c>
      <c r="B103" s="7"/>
      <c r="C103" s="7"/>
      <c r="D103" s="19"/>
      <c r="E103" s="7"/>
      <c r="F103" s="7"/>
      <c r="G103" s="7"/>
      <c r="H103" s="7"/>
      <c r="I103" s="28"/>
      <c r="J103" s="7"/>
      <c r="K103" s="29"/>
      <c r="L103" s="678"/>
      <c r="M103" s="7"/>
      <c r="N103" s="672"/>
      <c r="O103" s="11"/>
      <c r="P103" s="107" t="str">
        <f t="shared" si="52"/>
        <v/>
      </c>
      <c r="Q103" s="699"/>
      <c r="R103" s="703"/>
      <c r="S103" s="704"/>
      <c r="T103" s="11"/>
      <c r="U103" s="107" t="str">
        <f t="shared" si="53"/>
        <v/>
      </c>
      <c r="V103" s="695"/>
      <c r="W103" s="685"/>
      <c r="X103" s="707"/>
      <c r="Y103" s="684"/>
      <c r="Z103" s="108" t="str">
        <f t="shared" si="54"/>
        <v/>
      </c>
      <c r="AA103" s="25"/>
      <c r="AB103" s="287" t="str" cm="1">
        <f t="array" ref="AB103">IF((_xlfn.IFS(TRIM(SUBSTITUTE(AA103,CHAR(160),""))="Devis 1",IFERROR(VALUE(TRIM(SUBSTITUTE(N103,CHAR(160),""))),0),TRIM(SUBSTITUTE(AA103,CHAR(160),""))="Devis 2",IFERROR(VALUE(TRIM(SUBSTITUTE(S103,CHAR(160),""))),0),TRIM(SUBSTITUTE(AA103,CHAR(160),""))="Devis 3",IFERROR(VALUE(TRIM(SUBSTITUTE(X103,CHAR(160),""))),0),TRUE,0)*IFERROR(VALUE(TRIM(SUBSTITUTE(D103,CHAR(160),""))),0))=0,"",_xlfn.IFS(TRIM(SUBSTITUTE(AA103,CHAR(160),""))="Devis 1",IFERROR(VALUE(TRIM(SUBSTITUTE(N103,CHAR(160),""))),0),TRIM(SUBSTITUTE(AA103,CHAR(160),""))="Devis 2",IFERROR(VALUE(TRIM(SUBSTITUTE(S103,CHAR(160),""))),0),TRIM(SUBSTITUTE(AA103,CHAR(160),""))="Devis 3",IFERROR(VALUE(TRIM(SUBSTITUTE(X103,CHAR(160),""))),0),TRUE,0)*IFERROR(VALUE(TRIM(SUBSTITUTE(D103,CHAR(160),""))),0))</f>
        <v/>
      </c>
      <c r="AC103" s="275" t="str" cm="1">
        <f t="array" ref="AC103">IF(_xlfn.IFS(TRIM(SUBSTITUTE(AA103,CHAR(160),""))="Devis 1",IFERROR(VALUE(TRIM(SUBSTITUTE(O103,CHAR(160),""))),0),TRIM(SUBSTITUTE(AA103,CHAR(160),""))="Devis 2",IFERROR(VALUE(TRIM(SUBSTITUTE(T103,CHAR(160),""))),0),TRIM(SUBSTITUTE(AA103,CHAR(160),""))="Devis 3",IFERROR(VALUE(TRIM(SUBSTITUTE(Y103,CHAR(160),""))),0),TRUE,0)*IFERROR(VALUE(TRIM(SUBSTITUTE(D103,CHAR(160),""))),0)=0,IF(AB103&lt;&gt;"",0,""),_xlfn.IFS(TRIM(SUBSTITUTE(AA103,CHAR(160),""))="Devis 1",IFERROR(VALUE(TRIM(SUBSTITUTE(O103,CHAR(160),""))),0),TRIM(SUBSTITUTE(AA103,CHAR(160),""))="Devis 2",IFERROR(VALUE(TRIM(SUBSTITUTE(T103,CHAR(160),""))),0),TRIM(SUBSTITUTE(AA103,CHAR(160),""))="Devis 3",IFERROR(VALUE(TRIM(SUBSTITUTE(Y103,CHAR(160),""))),0),TRUE,0)*IFERROR(VALUE(TRIM(SUBSTITUTE(D103,CHAR(160),""))),0))</f>
        <v/>
      </c>
      <c r="AD103" s="285" t="str">
        <f t="shared" si="88"/>
        <v/>
      </c>
      <c r="AE103" s="26"/>
      <c r="AF103" s="109" t="str">
        <f t="shared" si="55"/>
        <v/>
      </c>
      <c r="AG103" s="109" t="str">
        <f t="shared" si="56"/>
        <v/>
      </c>
      <c r="AH103" s="885" t="str">
        <f t="shared" si="57"/>
        <v/>
      </c>
      <c r="AI103" s="109" t="str">
        <f t="shared" si="58"/>
        <v/>
      </c>
      <c r="AJ103" s="109" t="str">
        <f t="shared" si="59"/>
        <v/>
      </c>
      <c r="AK103" s="109" t="str">
        <f t="shared" si="60"/>
        <v/>
      </c>
      <c r="AL103" s="109" t="str">
        <f t="shared" si="61"/>
        <v/>
      </c>
      <c r="AM103" s="109" t="str">
        <f t="shared" si="62"/>
        <v/>
      </c>
      <c r="AN103" s="109" t="str">
        <f t="shared" si="63"/>
        <v/>
      </c>
      <c r="AO103" s="109" t="str">
        <f t="shared" si="64"/>
        <v/>
      </c>
      <c r="AP103" s="754" t="str">
        <f t="shared" si="65"/>
        <v/>
      </c>
      <c r="AQ103" s="755" t="str">
        <f t="shared" si="66"/>
        <v/>
      </c>
      <c r="AR103" s="195" t="str">
        <f t="shared" si="67"/>
        <v/>
      </c>
      <c r="AS103" s="195" t="str">
        <f t="shared" si="68"/>
        <v/>
      </c>
      <c r="AT103" s="664" t="str">
        <f t="shared" si="69"/>
        <v/>
      </c>
      <c r="AU103" s="756" t="str">
        <f t="shared" si="70"/>
        <v/>
      </c>
      <c r="AV103" s="195" t="str">
        <f t="shared" si="71"/>
        <v/>
      </c>
      <c r="AW103" s="195" t="str">
        <f t="shared" si="72"/>
        <v/>
      </c>
      <c r="AX103" s="195" t="str">
        <f t="shared" si="73"/>
        <v/>
      </c>
      <c r="AY103" s="728" t="str">
        <f t="shared" si="74"/>
        <v/>
      </c>
      <c r="AZ103" s="195" t="str">
        <f t="shared" si="75"/>
        <v/>
      </c>
      <c r="BA103" s="195" t="str">
        <f t="shared" si="76"/>
        <v/>
      </c>
      <c r="BB103" s="195" t="str">
        <f t="shared" si="77"/>
        <v/>
      </c>
      <c r="BC103" s="195" t="str">
        <f t="shared" si="78"/>
        <v/>
      </c>
      <c r="BD103" s="112" t="str">
        <f t="shared" si="79"/>
        <v/>
      </c>
      <c r="BE103" s="109" t="str">
        <f t="shared" si="80"/>
        <v/>
      </c>
      <c r="BF103" s="602"/>
      <c r="BG103" s="113" t="str">
        <f t="shared" si="81"/>
        <v/>
      </c>
      <c r="BH103" s="113" t="str">
        <f t="shared" si="82"/>
        <v/>
      </c>
      <c r="BI103" s="113" t="str">
        <f t="shared" si="83"/>
        <v/>
      </c>
      <c r="BJ103" s="281" t="str" cm="1">
        <f t="array" ref="BJ103">IF($AH103="","",
_xlfn.IFS(
$BE103="Devis 1",
IF(ISBLANK(AR103),"",IFERROR(VALUE(TRIM(SUBSTITUTE(AR103,CHAR(160),""))),0)*IFERROR(VALUE(TRIM(SUBSTITUTE($AH103,CHAR(160),""))),0)),
$BE103="Devis 2",
IF(ISBLANK(AW103),"",IFERROR(VALUE(TRIM(SUBSTITUTE(AW103,CHAR(160),""))),0)*IFERROR(VALUE(TRIM(SUBSTITUTE($AH103,CHAR(160),""))),0)),
$BE103="Devis 3",
IF(ISBLANK(BB103),"",IFERROR(VALUE(TRIM(SUBSTITUTE(BB103,CHAR(160),""))),0)*IFERROR(VALUE(TRIM(SUBSTITUTE($AH103,CHAR(160),""))),0)),
TRUE,0
)
)</f>
        <v/>
      </c>
      <c r="BK103" s="281" t="str" cm="1">
        <f t="array" ref="BK103">IF($AH103="","",
_xlfn.IFS(
$BE103="Devis 1",
IF(ISBLANK(AS103),"",IFERROR(VALUE(TRIM(SUBSTITUTE(AS103,CHAR(160),""))),0)*IFERROR(VALUE(TRIM(SUBSTITUTE($AH103,CHAR(160),""))),0)),
$BE103="Devis 2",
IF(ISBLANK(AX103),"",IFERROR(VALUE(TRIM(SUBSTITUTE(AX103,CHAR(160),""))),0)*IFERROR(VALUE(TRIM(SUBSTITUTE($AH103,CHAR(160),""))),0)),
$BE103="Devis 3",
IF(ISBLANK(BC103),"",IFERROR(VALUE(TRIM(SUBSTITUTE(BC103,CHAR(160),""))),0)*IFERROR(VALUE(TRIM(SUBSTITUTE($AH103,CHAR(160),""))),0)),
TRUE,0
)
)</f>
        <v/>
      </c>
      <c r="BL103" s="281" t="str">
        <f t="shared" si="84"/>
        <v/>
      </c>
      <c r="BM103" s="602"/>
      <c r="BN103" s="23" t="str" cm="1">
        <f t="array" ref="BN103">IF(OR(BL103="",BI103="",BJ103="",BG103="",BK103="",BH103=""),"",_xlfn.IFS(
ROUND(IFERROR(VALUE(TRIM(SUBSTITUTE(BL103,CHAR(160),""))),0),2)&gt;
ROUND(IFERROR(VALUE(TRIM(SUBSTITUTE(BI103,CHAR(160),""))),0),2),
"KO : Le montant retenu TTC est supérieur au montant raisonnable TTC. Merci de revoir la ligne de dépense ou plafonner son montant.",
ROUND(IFERROR(VALUE(TRIM(SUBSTITUTE(BJ103,CHAR(160),""))),0),2)&gt;
ROUND(IFERROR(VALUE(TRIM(SUBSTITUTE(BG103,CHAR(160),""))),0),2),
"Attention : Le montant retenu HT est supérieur au montant HT raisonnable. Merci de revoir la ligne de dépense, plafonner son montant, ou justifier la reventillation HT / TVA.",
ROUND(IFERROR(VALUE(TRIM(SUBSTITUTE(BK103,CHAR(160),""))),0),2)&gt;
ROUND(IFERROR(VALUE(TRIM(SUBSTITUTE(BH103,CHAR(160),""))),0),2),
"Attention : Le montant TVA retenu est supérieur au montant TVA raisonnable. Merci de revoir la ligne de dépense, plafonner son montant, ou justifier la reventillation HT / TVA.",
ROUND(IFERROR(VALUE(TRIM(SUBSTITUTE(BL103,CHAR(160),""))),0),2)&gt;
ROUND(IFERROR(VALUE(TRIM(SUBSTITUTE(MIN(P103,U103,Z103),CHAR(160),""))),0),2),
"Attention : Le devis retenu n'est pas le moins cher. Une justification de la part du porteur est nécessaire.",
ROUND(IFERROR(VALUE(TRIM(SUBSTITUTE(BL103,CHAR(160),""))),0),2)=0,
"Attention : montant présenté entièrement écarté",
ROUND(IFERROR(VALUE(TRIM(SUBSTITUTE(BI103,CHAR(160),""))),0),2)=
ROUND(IFERROR(VALUE(TRIM(SUBSTITUTE(BL103,CHAR(160),""))),0),2),
"OK",
ROUND(IFERROR(VALUE(TRIM(SUBSTITUTE(BI103,CHAR(160),""))),0),2)&gt;
ROUND(IFERROR(VALUE(TRIM(SUBSTITUTE(BL103,CHAR(160),""))),0),2),
" OK : Montant instruit inférieur au montant raisonnable.",
TRUE,""
))</f>
        <v/>
      </c>
      <c r="BO103" s="23" t="str" cm="1">
        <f t="array" ref="BO103">IF(OR(BL103="",AD103="",BJ103="",AB103="",BK103="",AC103=""),"",_xlfn.IFS(
ROUND(IFERROR(VALUE(TRIM(SUBSTITUTE(BL103,CHAR(160),""))),0),2)&gt;
ROUND(IFERROR(VALUE(TRIM(SUBSTITUTE(AD103,CHAR(160),""))),0),2),
"KO : Le montant retenu TTC est supérieur au montant présenté TTC. Merci de revoir la ligne de dépense ou plafonner son montant.",
ROUND(IFERROR(VALUE(TRIM(SUBSTITUTE(BJ103,CHAR(160),""))),0),2)&gt;
ROUND(IFERROR(VALUE(TRIM(SUBSTITUTE(AB103,CHAR(160),""))),0),2),
"Attention : Le montant retenu HT est supérieur au montant HT présenté. Merci de revoir la ligne de dépense, plafonner son montant, ou justifier la reventillation HT / TVA.",
ROUND(IFERROR(VALUE(TRIM(SUBSTITUTE(BK103,CHAR(160),""))),0),2)&gt;
ROUND(IFERROR(VALUE(TRIM(SUBSTITUTE(AC103,CHAR(160),""))),0),2),
"Attention : Le montant TVA retenu est supérieur au montant TVA présenté. Merci de revoir la ligne de dépense, plafonner son montant, ou justifier la reventillation HT / TVA.",
ROUND(IFERROR(VALUE(TRIM(SUBSTITUTE(AD103,CHAR(160),""))),0),2)=0,
"",
ROUND(IFERROR(VALUE(TRIM(SUBSTITUTE(BL103,CHAR(160),""))),0),2)=
ROUND(IFERROR(VALUE(TRIM(SUBSTITUTE(AD103,CHAR(160),""))),0),2),
"OK",
ROUND(IFERROR(VALUE(TRIM(SUBSTITUTE(BL103,CHAR(160),""))),0),2)=0,
"Attention : Montant présenté entièrement rejeté.",
ROUND(IFERROR(VALUE(TRIM(SUBSTITUTE(BL103,CHAR(160),""))),0),2)&lt;
ROUND(IFERROR(VALUE(TRIM(SUBSTITUTE(AD103,CHAR(160),""))),0),2),
"Attention : Montant présenté partiellement rejeté.",
TRUE,""
))</f>
        <v/>
      </c>
      <c r="BP103" s="113" t="str">
        <f t="shared" si="85"/>
        <v/>
      </c>
      <c r="BQ103" s="113" t="str">
        <f t="shared" si="86"/>
        <v/>
      </c>
      <c r="BR103" s="33" t="str">
        <f t="shared" si="87"/>
        <v/>
      </c>
    </row>
    <row r="104" spans="1:70" ht="15" customHeight="1">
      <c r="A104" s="193">
        <v>96</v>
      </c>
      <c r="B104" s="7"/>
      <c r="C104" s="7"/>
      <c r="D104" s="19"/>
      <c r="E104" s="7"/>
      <c r="F104" s="7"/>
      <c r="G104" s="7"/>
      <c r="H104" s="7"/>
      <c r="I104" s="28"/>
      <c r="J104" s="7"/>
      <c r="K104" s="29"/>
      <c r="L104" s="678"/>
      <c r="M104" s="7"/>
      <c r="N104" s="672"/>
      <c r="O104" s="11"/>
      <c r="P104" s="107" t="str">
        <f t="shared" si="52"/>
        <v/>
      </c>
      <c r="Q104" s="699"/>
      <c r="R104" s="705"/>
      <c r="S104" s="709"/>
      <c r="T104" s="684"/>
      <c r="U104" s="107" t="str">
        <f t="shared" si="53"/>
        <v/>
      </c>
      <c r="V104" s="695"/>
      <c r="W104" s="685"/>
      <c r="X104" s="707"/>
      <c r="Y104" s="684"/>
      <c r="Z104" s="108" t="str">
        <f t="shared" si="54"/>
        <v/>
      </c>
      <c r="AA104" s="25"/>
      <c r="AB104" s="287" t="str" cm="1">
        <f t="array" ref="AB104">IF((_xlfn.IFS(TRIM(SUBSTITUTE(AA104,CHAR(160),""))="Devis 1",IFERROR(VALUE(TRIM(SUBSTITUTE(N104,CHAR(160),""))),0),TRIM(SUBSTITUTE(AA104,CHAR(160),""))="Devis 2",IFERROR(VALUE(TRIM(SUBSTITUTE(S104,CHAR(160),""))),0),TRIM(SUBSTITUTE(AA104,CHAR(160),""))="Devis 3",IFERROR(VALUE(TRIM(SUBSTITUTE(X104,CHAR(160),""))),0),TRUE,0)*IFERROR(VALUE(TRIM(SUBSTITUTE(D104,CHAR(160),""))),0))=0,"",_xlfn.IFS(TRIM(SUBSTITUTE(AA104,CHAR(160),""))="Devis 1",IFERROR(VALUE(TRIM(SUBSTITUTE(N104,CHAR(160),""))),0),TRIM(SUBSTITUTE(AA104,CHAR(160),""))="Devis 2",IFERROR(VALUE(TRIM(SUBSTITUTE(S104,CHAR(160),""))),0),TRIM(SUBSTITUTE(AA104,CHAR(160),""))="Devis 3",IFERROR(VALUE(TRIM(SUBSTITUTE(X104,CHAR(160),""))),0),TRUE,0)*IFERROR(VALUE(TRIM(SUBSTITUTE(D104,CHAR(160),""))),0))</f>
        <v/>
      </c>
      <c r="AC104" s="275" t="str" cm="1">
        <f t="array" ref="AC104">IF(_xlfn.IFS(TRIM(SUBSTITUTE(AA104,CHAR(160),""))="Devis 1",IFERROR(VALUE(TRIM(SUBSTITUTE(O104,CHAR(160),""))),0),TRIM(SUBSTITUTE(AA104,CHAR(160),""))="Devis 2",IFERROR(VALUE(TRIM(SUBSTITUTE(T104,CHAR(160),""))),0),TRIM(SUBSTITUTE(AA104,CHAR(160),""))="Devis 3",IFERROR(VALUE(TRIM(SUBSTITUTE(Y104,CHAR(160),""))),0),TRUE,0)*IFERROR(VALUE(TRIM(SUBSTITUTE(D104,CHAR(160),""))),0)=0,IF(AB104&lt;&gt;"",0,""),_xlfn.IFS(TRIM(SUBSTITUTE(AA104,CHAR(160),""))="Devis 1",IFERROR(VALUE(TRIM(SUBSTITUTE(O104,CHAR(160),""))),0),TRIM(SUBSTITUTE(AA104,CHAR(160),""))="Devis 2",IFERROR(VALUE(TRIM(SUBSTITUTE(T104,CHAR(160),""))),0),TRIM(SUBSTITUTE(AA104,CHAR(160),""))="Devis 3",IFERROR(VALUE(TRIM(SUBSTITUTE(Y104,CHAR(160),""))),0),TRUE,0)*IFERROR(VALUE(TRIM(SUBSTITUTE(D104,CHAR(160),""))),0))</f>
        <v/>
      </c>
      <c r="AD104" s="285" t="str">
        <f t="shared" si="88"/>
        <v/>
      </c>
      <c r="AE104" s="26"/>
      <c r="AF104" s="109" t="str">
        <f t="shared" si="55"/>
        <v/>
      </c>
      <c r="AG104" s="109" t="str">
        <f t="shared" si="56"/>
        <v/>
      </c>
      <c r="AH104" s="885" t="str">
        <f t="shared" si="57"/>
        <v/>
      </c>
      <c r="AI104" s="109" t="str">
        <f t="shared" si="58"/>
        <v/>
      </c>
      <c r="AJ104" s="109" t="str">
        <f t="shared" si="59"/>
        <v/>
      </c>
      <c r="AK104" s="109" t="str">
        <f t="shared" si="60"/>
        <v/>
      </c>
      <c r="AL104" s="109" t="str">
        <f t="shared" si="61"/>
        <v/>
      </c>
      <c r="AM104" s="109" t="str">
        <f t="shared" si="62"/>
        <v/>
      </c>
      <c r="AN104" s="109" t="str">
        <f t="shared" si="63"/>
        <v/>
      </c>
      <c r="AO104" s="109" t="str">
        <f t="shared" si="64"/>
        <v/>
      </c>
      <c r="AP104" s="754" t="str">
        <f t="shared" si="65"/>
        <v/>
      </c>
      <c r="AQ104" s="755" t="str">
        <f t="shared" si="66"/>
        <v/>
      </c>
      <c r="AR104" s="195" t="str">
        <f t="shared" si="67"/>
        <v/>
      </c>
      <c r="AS104" s="195" t="str">
        <f t="shared" si="68"/>
        <v/>
      </c>
      <c r="AT104" s="664" t="str">
        <f t="shared" si="69"/>
        <v/>
      </c>
      <c r="AU104" s="756" t="str">
        <f t="shared" si="70"/>
        <v/>
      </c>
      <c r="AV104" s="195" t="str">
        <f t="shared" si="71"/>
        <v/>
      </c>
      <c r="AW104" s="195" t="str">
        <f t="shared" si="72"/>
        <v/>
      </c>
      <c r="AX104" s="195" t="str">
        <f t="shared" si="73"/>
        <v/>
      </c>
      <c r="AY104" s="728" t="str">
        <f t="shared" si="74"/>
        <v/>
      </c>
      <c r="AZ104" s="195" t="str">
        <f t="shared" si="75"/>
        <v/>
      </c>
      <c r="BA104" s="195" t="str">
        <f t="shared" si="76"/>
        <v/>
      </c>
      <c r="BB104" s="195" t="str">
        <f t="shared" si="77"/>
        <v/>
      </c>
      <c r="BC104" s="195" t="str">
        <f t="shared" si="78"/>
        <v/>
      </c>
      <c r="BD104" s="112" t="str">
        <f t="shared" si="79"/>
        <v/>
      </c>
      <c r="BE104" s="109" t="str">
        <f t="shared" si="80"/>
        <v/>
      </c>
      <c r="BF104" s="602"/>
      <c r="BG104" s="113" t="str">
        <f t="shared" si="81"/>
        <v/>
      </c>
      <c r="BH104" s="113" t="str">
        <f t="shared" si="82"/>
        <v/>
      </c>
      <c r="BI104" s="113" t="str">
        <f t="shared" si="83"/>
        <v/>
      </c>
      <c r="BJ104" s="281" t="str" cm="1">
        <f t="array" ref="BJ104">IF($AH104="","",
_xlfn.IFS(
$BE104="Devis 1",
IF(ISBLANK(AR104),"",IFERROR(VALUE(TRIM(SUBSTITUTE(AR104,CHAR(160),""))),0)*IFERROR(VALUE(TRIM(SUBSTITUTE($AH104,CHAR(160),""))),0)),
$BE104="Devis 2",
IF(ISBLANK(AW104),"",IFERROR(VALUE(TRIM(SUBSTITUTE(AW104,CHAR(160),""))),0)*IFERROR(VALUE(TRIM(SUBSTITUTE($AH104,CHAR(160),""))),0)),
$BE104="Devis 3",
IF(ISBLANK(BB104),"",IFERROR(VALUE(TRIM(SUBSTITUTE(BB104,CHAR(160),""))),0)*IFERROR(VALUE(TRIM(SUBSTITUTE($AH104,CHAR(160),""))),0)),
TRUE,0
)
)</f>
        <v/>
      </c>
      <c r="BK104" s="281" t="str" cm="1">
        <f t="array" ref="BK104">IF($AH104="","",
_xlfn.IFS(
$BE104="Devis 1",
IF(ISBLANK(AS104),"",IFERROR(VALUE(TRIM(SUBSTITUTE(AS104,CHAR(160),""))),0)*IFERROR(VALUE(TRIM(SUBSTITUTE($AH104,CHAR(160),""))),0)),
$BE104="Devis 2",
IF(ISBLANK(AX104),"",IFERROR(VALUE(TRIM(SUBSTITUTE(AX104,CHAR(160),""))),0)*IFERROR(VALUE(TRIM(SUBSTITUTE($AH104,CHAR(160),""))),0)),
$BE104="Devis 3",
IF(ISBLANK(BC104),"",IFERROR(VALUE(TRIM(SUBSTITUTE(BC104,CHAR(160),""))),0)*IFERROR(VALUE(TRIM(SUBSTITUTE($AH104,CHAR(160),""))),0)),
TRUE,0
)
)</f>
        <v/>
      </c>
      <c r="BL104" s="281" t="str">
        <f t="shared" si="84"/>
        <v/>
      </c>
      <c r="BM104" s="602"/>
      <c r="BN104" s="23" t="str" cm="1">
        <f t="array" ref="BN104">IF(OR(BL104="",BI104="",BJ104="",BG104="",BK104="",BH104=""),"",_xlfn.IFS(
ROUND(IFERROR(VALUE(TRIM(SUBSTITUTE(BL104,CHAR(160),""))),0),2)&gt;
ROUND(IFERROR(VALUE(TRIM(SUBSTITUTE(BI104,CHAR(160),""))),0),2),
"KO : Le montant retenu TTC est supérieur au montant raisonnable TTC. Merci de revoir la ligne de dépense ou plafonner son montant.",
ROUND(IFERROR(VALUE(TRIM(SUBSTITUTE(BJ104,CHAR(160),""))),0),2)&gt;
ROUND(IFERROR(VALUE(TRIM(SUBSTITUTE(BG104,CHAR(160),""))),0),2),
"Attention : Le montant retenu HT est supérieur au montant HT raisonnable. Merci de revoir la ligne de dépense, plafonner son montant, ou justifier la reventillation HT / TVA.",
ROUND(IFERROR(VALUE(TRIM(SUBSTITUTE(BK104,CHAR(160),""))),0),2)&gt;
ROUND(IFERROR(VALUE(TRIM(SUBSTITUTE(BH104,CHAR(160),""))),0),2),
"Attention : Le montant TVA retenu est supérieur au montant TVA raisonnable. Merci de revoir la ligne de dépense, plafonner son montant, ou justifier la reventillation HT / TVA.",
ROUND(IFERROR(VALUE(TRIM(SUBSTITUTE(BL104,CHAR(160),""))),0),2)&gt;
ROUND(IFERROR(VALUE(TRIM(SUBSTITUTE(MIN(P104,U104,Z104),CHAR(160),""))),0),2),
"Attention : Le devis retenu n'est pas le moins cher. Une justification de la part du porteur est nécessaire.",
ROUND(IFERROR(VALUE(TRIM(SUBSTITUTE(BL104,CHAR(160),""))),0),2)=0,
"Attention : montant présenté entièrement écarté",
ROUND(IFERROR(VALUE(TRIM(SUBSTITUTE(BI104,CHAR(160),""))),0),2)=
ROUND(IFERROR(VALUE(TRIM(SUBSTITUTE(BL104,CHAR(160),""))),0),2),
"OK",
ROUND(IFERROR(VALUE(TRIM(SUBSTITUTE(BI104,CHAR(160),""))),0),2)&gt;
ROUND(IFERROR(VALUE(TRIM(SUBSTITUTE(BL104,CHAR(160),""))),0),2),
" OK : Montant instruit inférieur au montant raisonnable.",
TRUE,""
))</f>
        <v/>
      </c>
      <c r="BO104" s="23" t="str" cm="1">
        <f t="array" ref="BO104">IF(OR(BL104="",AD104="",BJ104="",AB104="",BK104="",AC104=""),"",_xlfn.IFS(
ROUND(IFERROR(VALUE(TRIM(SUBSTITUTE(BL104,CHAR(160),""))),0),2)&gt;
ROUND(IFERROR(VALUE(TRIM(SUBSTITUTE(AD104,CHAR(160),""))),0),2),
"KO : Le montant retenu TTC est supérieur au montant présenté TTC. Merci de revoir la ligne de dépense ou plafonner son montant.",
ROUND(IFERROR(VALUE(TRIM(SUBSTITUTE(BJ104,CHAR(160),""))),0),2)&gt;
ROUND(IFERROR(VALUE(TRIM(SUBSTITUTE(AB104,CHAR(160),""))),0),2),
"Attention : Le montant retenu HT est supérieur au montant HT présenté. Merci de revoir la ligne de dépense, plafonner son montant, ou justifier la reventillation HT / TVA.",
ROUND(IFERROR(VALUE(TRIM(SUBSTITUTE(BK104,CHAR(160),""))),0),2)&gt;
ROUND(IFERROR(VALUE(TRIM(SUBSTITUTE(AC104,CHAR(160),""))),0),2),
"Attention : Le montant TVA retenu est supérieur au montant TVA présenté. Merci de revoir la ligne de dépense, plafonner son montant, ou justifier la reventillation HT / TVA.",
ROUND(IFERROR(VALUE(TRIM(SUBSTITUTE(AD104,CHAR(160),""))),0),2)=0,
"",
ROUND(IFERROR(VALUE(TRIM(SUBSTITUTE(BL104,CHAR(160),""))),0),2)=
ROUND(IFERROR(VALUE(TRIM(SUBSTITUTE(AD104,CHAR(160),""))),0),2),
"OK",
ROUND(IFERROR(VALUE(TRIM(SUBSTITUTE(BL104,CHAR(160),""))),0),2)=0,
"Attention : Montant présenté entièrement rejeté.",
ROUND(IFERROR(VALUE(TRIM(SUBSTITUTE(BL104,CHAR(160),""))),0),2)&lt;
ROUND(IFERROR(VALUE(TRIM(SUBSTITUTE(AD104,CHAR(160),""))),0),2),
"Attention : Montant présenté partiellement rejeté.",
TRUE,""
))</f>
        <v/>
      </c>
      <c r="BP104" s="113" t="str">
        <f t="shared" si="85"/>
        <v/>
      </c>
      <c r="BQ104" s="113" t="str">
        <f t="shared" si="86"/>
        <v/>
      </c>
      <c r="BR104" s="33" t="str">
        <f t="shared" si="87"/>
        <v/>
      </c>
    </row>
    <row r="105" spans="1:70" ht="15" customHeight="1">
      <c r="A105" s="193">
        <v>97</v>
      </c>
      <c r="B105" s="7"/>
      <c r="C105" s="7"/>
      <c r="D105" s="19"/>
      <c r="E105" s="7"/>
      <c r="F105" s="7"/>
      <c r="G105" s="7"/>
      <c r="H105" s="7"/>
      <c r="I105" s="28"/>
      <c r="J105" s="7"/>
      <c r="K105" s="29"/>
      <c r="L105" s="678"/>
      <c r="M105" s="7"/>
      <c r="N105" s="672"/>
      <c r="O105" s="11"/>
      <c r="P105" s="107" t="str">
        <f t="shared" si="52"/>
        <v/>
      </c>
      <c r="Q105" s="699"/>
      <c r="R105" s="702"/>
      <c r="S105" s="710"/>
      <c r="T105" s="684"/>
      <c r="U105" s="107" t="str">
        <f t="shared" si="53"/>
        <v/>
      </c>
      <c r="V105" s="695"/>
      <c r="W105" s="685"/>
      <c r="X105" s="707"/>
      <c r="Y105" s="684"/>
      <c r="Z105" s="108" t="str">
        <f t="shared" si="54"/>
        <v/>
      </c>
      <c r="AA105" s="25"/>
      <c r="AB105" s="287" t="str" cm="1">
        <f t="array" ref="AB105">IF((_xlfn.IFS(TRIM(SUBSTITUTE(AA105,CHAR(160),""))="Devis 1",IFERROR(VALUE(TRIM(SUBSTITUTE(N105,CHAR(160),""))),0),TRIM(SUBSTITUTE(AA105,CHAR(160),""))="Devis 2",IFERROR(VALUE(TRIM(SUBSTITUTE(S105,CHAR(160),""))),0),TRIM(SUBSTITUTE(AA105,CHAR(160),""))="Devis 3",IFERROR(VALUE(TRIM(SUBSTITUTE(X105,CHAR(160),""))),0),TRUE,0)*IFERROR(VALUE(TRIM(SUBSTITUTE(D105,CHAR(160),""))),0))=0,"",_xlfn.IFS(TRIM(SUBSTITUTE(AA105,CHAR(160),""))="Devis 1",IFERROR(VALUE(TRIM(SUBSTITUTE(N105,CHAR(160),""))),0),TRIM(SUBSTITUTE(AA105,CHAR(160),""))="Devis 2",IFERROR(VALUE(TRIM(SUBSTITUTE(S105,CHAR(160),""))),0),TRIM(SUBSTITUTE(AA105,CHAR(160),""))="Devis 3",IFERROR(VALUE(TRIM(SUBSTITUTE(X105,CHAR(160),""))),0),TRUE,0)*IFERROR(VALUE(TRIM(SUBSTITUTE(D105,CHAR(160),""))),0))</f>
        <v/>
      </c>
      <c r="AC105" s="275" t="str" cm="1">
        <f t="array" ref="AC105">IF(_xlfn.IFS(TRIM(SUBSTITUTE(AA105,CHAR(160),""))="Devis 1",IFERROR(VALUE(TRIM(SUBSTITUTE(O105,CHAR(160),""))),0),TRIM(SUBSTITUTE(AA105,CHAR(160),""))="Devis 2",IFERROR(VALUE(TRIM(SUBSTITUTE(T105,CHAR(160),""))),0),TRIM(SUBSTITUTE(AA105,CHAR(160),""))="Devis 3",IFERROR(VALUE(TRIM(SUBSTITUTE(Y105,CHAR(160),""))),0),TRUE,0)*IFERROR(VALUE(TRIM(SUBSTITUTE(D105,CHAR(160),""))),0)=0,IF(AB105&lt;&gt;"",0,""),_xlfn.IFS(TRIM(SUBSTITUTE(AA105,CHAR(160),""))="Devis 1",IFERROR(VALUE(TRIM(SUBSTITUTE(O105,CHAR(160),""))),0),TRIM(SUBSTITUTE(AA105,CHAR(160),""))="Devis 2",IFERROR(VALUE(TRIM(SUBSTITUTE(T105,CHAR(160),""))),0),TRIM(SUBSTITUTE(AA105,CHAR(160),""))="Devis 3",IFERROR(VALUE(TRIM(SUBSTITUTE(Y105,CHAR(160),""))),0),TRUE,0)*IFERROR(VALUE(TRIM(SUBSTITUTE(D105,CHAR(160),""))),0))</f>
        <v/>
      </c>
      <c r="AD105" s="285" t="str">
        <f t="shared" si="88"/>
        <v/>
      </c>
      <c r="AE105" s="26"/>
      <c r="AF105" s="109" t="str">
        <f t="shared" si="55"/>
        <v/>
      </c>
      <c r="AG105" s="109" t="str">
        <f t="shared" si="56"/>
        <v/>
      </c>
      <c r="AH105" s="885" t="str">
        <f t="shared" si="57"/>
        <v/>
      </c>
      <c r="AI105" s="109" t="str">
        <f t="shared" si="58"/>
        <v/>
      </c>
      <c r="AJ105" s="109" t="str">
        <f t="shared" si="59"/>
        <v/>
      </c>
      <c r="AK105" s="109" t="str">
        <f t="shared" si="60"/>
        <v/>
      </c>
      <c r="AL105" s="109" t="str">
        <f t="shared" si="61"/>
        <v/>
      </c>
      <c r="AM105" s="109" t="str">
        <f t="shared" si="62"/>
        <v/>
      </c>
      <c r="AN105" s="109" t="str">
        <f t="shared" si="63"/>
        <v/>
      </c>
      <c r="AO105" s="109" t="str">
        <f t="shared" si="64"/>
        <v/>
      </c>
      <c r="AP105" s="754" t="str">
        <f t="shared" si="65"/>
        <v/>
      </c>
      <c r="AQ105" s="755" t="str">
        <f t="shared" si="66"/>
        <v/>
      </c>
      <c r="AR105" s="195" t="str">
        <f t="shared" si="67"/>
        <v/>
      </c>
      <c r="AS105" s="195" t="str">
        <f t="shared" si="68"/>
        <v/>
      </c>
      <c r="AT105" s="664" t="str">
        <f t="shared" si="69"/>
        <v/>
      </c>
      <c r="AU105" s="756" t="str">
        <f t="shared" si="70"/>
        <v/>
      </c>
      <c r="AV105" s="195" t="str">
        <f t="shared" si="71"/>
        <v/>
      </c>
      <c r="AW105" s="195" t="str">
        <f t="shared" si="72"/>
        <v/>
      </c>
      <c r="AX105" s="195" t="str">
        <f t="shared" si="73"/>
        <v/>
      </c>
      <c r="AY105" s="728" t="str">
        <f t="shared" si="74"/>
        <v/>
      </c>
      <c r="AZ105" s="195" t="str">
        <f t="shared" si="75"/>
        <v/>
      </c>
      <c r="BA105" s="195" t="str">
        <f t="shared" si="76"/>
        <v/>
      </c>
      <c r="BB105" s="195" t="str">
        <f t="shared" si="77"/>
        <v/>
      </c>
      <c r="BC105" s="195" t="str">
        <f t="shared" si="78"/>
        <v/>
      </c>
      <c r="BD105" s="112" t="str">
        <f t="shared" si="79"/>
        <v/>
      </c>
      <c r="BE105" s="109" t="str">
        <f t="shared" si="80"/>
        <v/>
      </c>
      <c r="BF105" s="602"/>
      <c r="BG105" s="113" t="str">
        <f t="shared" si="81"/>
        <v/>
      </c>
      <c r="BH105" s="113" t="str">
        <f t="shared" si="82"/>
        <v/>
      </c>
      <c r="BI105" s="113" t="str">
        <f t="shared" si="83"/>
        <v/>
      </c>
      <c r="BJ105" s="281" t="str" cm="1">
        <f t="array" ref="BJ105">IF($AH105="","",
_xlfn.IFS(
$BE105="Devis 1",
IF(ISBLANK(AR105),"",IFERROR(VALUE(TRIM(SUBSTITUTE(AR105,CHAR(160),""))),0)*IFERROR(VALUE(TRIM(SUBSTITUTE($AH105,CHAR(160),""))),0)),
$BE105="Devis 2",
IF(ISBLANK(AW105),"",IFERROR(VALUE(TRIM(SUBSTITUTE(AW105,CHAR(160),""))),0)*IFERROR(VALUE(TRIM(SUBSTITUTE($AH105,CHAR(160),""))),0)),
$BE105="Devis 3",
IF(ISBLANK(BB105),"",IFERROR(VALUE(TRIM(SUBSTITUTE(BB105,CHAR(160),""))),0)*IFERROR(VALUE(TRIM(SUBSTITUTE($AH105,CHAR(160),""))),0)),
TRUE,0
)
)</f>
        <v/>
      </c>
      <c r="BK105" s="281" t="str" cm="1">
        <f t="array" ref="BK105">IF($AH105="","",
_xlfn.IFS(
$BE105="Devis 1",
IF(ISBLANK(AS105),"",IFERROR(VALUE(TRIM(SUBSTITUTE(AS105,CHAR(160),""))),0)*IFERROR(VALUE(TRIM(SUBSTITUTE($AH105,CHAR(160),""))),0)),
$BE105="Devis 2",
IF(ISBLANK(AX105),"",IFERROR(VALUE(TRIM(SUBSTITUTE(AX105,CHAR(160),""))),0)*IFERROR(VALUE(TRIM(SUBSTITUTE($AH105,CHAR(160),""))),0)),
$BE105="Devis 3",
IF(ISBLANK(BC105),"",IFERROR(VALUE(TRIM(SUBSTITUTE(BC105,CHAR(160),""))),0)*IFERROR(VALUE(TRIM(SUBSTITUTE($AH105,CHAR(160),""))),0)),
TRUE,0
)
)</f>
        <v/>
      </c>
      <c r="BL105" s="281" t="str">
        <f t="shared" si="84"/>
        <v/>
      </c>
      <c r="BM105" s="602"/>
      <c r="BN105" s="23" t="str" cm="1">
        <f t="array" ref="BN105">IF(OR(BL105="",BI105="",BJ105="",BG105="",BK105="",BH105=""),"",_xlfn.IFS(
ROUND(IFERROR(VALUE(TRIM(SUBSTITUTE(BL105,CHAR(160),""))),0),2)&gt;
ROUND(IFERROR(VALUE(TRIM(SUBSTITUTE(BI105,CHAR(160),""))),0),2),
"KO : Le montant retenu TTC est supérieur au montant raisonnable TTC. Merci de revoir la ligne de dépense ou plafonner son montant.",
ROUND(IFERROR(VALUE(TRIM(SUBSTITUTE(BJ105,CHAR(160),""))),0),2)&gt;
ROUND(IFERROR(VALUE(TRIM(SUBSTITUTE(BG105,CHAR(160),""))),0),2),
"Attention : Le montant retenu HT est supérieur au montant HT raisonnable. Merci de revoir la ligne de dépense, plafonner son montant, ou justifier la reventillation HT / TVA.",
ROUND(IFERROR(VALUE(TRIM(SUBSTITUTE(BK105,CHAR(160),""))),0),2)&gt;
ROUND(IFERROR(VALUE(TRIM(SUBSTITUTE(BH105,CHAR(160),""))),0),2),
"Attention : Le montant TVA retenu est supérieur au montant TVA raisonnable. Merci de revoir la ligne de dépense, plafonner son montant, ou justifier la reventillation HT / TVA.",
ROUND(IFERROR(VALUE(TRIM(SUBSTITUTE(BL105,CHAR(160),""))),0),2)&gt;
ROUND(IFERROR(VALUE(TRIM(SUBSTITUTE(MIN(P105,U105,Z105),CHAR(160),""))),0),2),
"Attention : Le devis retenu n'est pas le moins cher. Une justification de la part du porteur est nécessaire.",
ROUND(IFERROR(VALUE(TRIM(SUBSTITUTE(BL105,CHAR(160),""))),0),2)=0,
"Attention : montant présenté entièrement écarté",
ROUND(IFERROR(VALUE(TRIM(SUBSTITUTE(BI105,CHAR(160),""))),0),2)=
ROUND(IFERROR(VALUE(TRIM(SUBSTITUTE(BL105,CHAR(160),""))),0),2),
"OK",
ROUND(IFERROR(VALUE(TRIM(SUBSTITUTE(BI105,CHAR(160),""))),0),2)&gt;
ROUND(IFERROR(VALUE(TRIM(SUBSTITUTE(BL105,CHAR(160),""))),0),2),
" OK : Montant instruit inférieur au montant raisonnable.",
TRUE,""
))</f>
        <v/>
      </c>
      <c r="BO105" s="23" t="str" cm="1">
        <f t="array" ref="BO105">IF(OR(BL105="",AD105="",BJ105="",AB105="",BK105="",AC105=""),"",_xlfn.IFS(
ROUND(IFERROR(VALUE(TRIM(SUBSTITUTE(BL105,CHAR(160),""))),0),2)&gt;
ROUND(IFERROR(VALUE(TRIM(SUBSTITUTE(AD105,CHAR(160),""))),0),2),
"KO : Le montant retenu TTC est supérieur au montant présenté TTC. Merci de revoir la ligne de dépense ou plafonner son montant.",
ROUND(IFERROR(VALUE(TRIM(SUBSTITUTE(BJ105,CHAR(160),""))),0),2)&gt;
ROUND(IFERROR(VALUE(TRIM(SUBSTITUTE(AB105,CHAR(160),""))),0),2),
"Attention : Le montant retenu HT est supérieur au montant HT présenté. Merci de revoir la ligne de dépense, plafonner son montant, ou justifier la reventillation HT / TVA.",
ROUND(IFERROR(VALUE(TRIM(SUBSTITUTE(BK105,CHAR(160),""))),0),2)&gt;
ROUND(IFERROR(VALUE(TRIM(SUBSTITUTE(AC105,CHAR(160),""))),0),2),
"Attention : Le montant TVA retenu est supérieur au montant TVA présenté. Merci de revoir la ligne de dépense, plafonner son montant, ou justifier la reventillation HT / TVA.",
ROUND(IFERROR(VALUE(TRIM(SUBSTITUTE(AD105,CHAR(160),""))),0),2)=0,
"",
ROUND(IFERROR(VALUE(TRIM(SUBSTITUTE(BL105,CHAR(160),""))),0),2)=
ROUND(IFERROR(VALUE(TRIM(SUBSTITUTE(AD105,CHAR(160),""))),0),2),
"OK",
ROUND(IFERROR(VALUE(TRIM(SUBSTITUTE(BL105,CHAR(160),""))),0),2)=0,
"Attention : Montant présenté entièrement rejeté.",
ROUND(IFERROR(VALUE(TRIM(SUBSTITUTE(BL105,CHAR(160),""))),0),2)&lt;
ROUND(IFERROR(VALUE(TRIM(SUBSTITUTE(AD105,CHAR(160),""))),0),2),
"Attention : Montant présenté partiellement rejeté.",
TRUE,""
))</f>
        <v/>
      </c>
      <c r="BP105" s="113" t="str">
        <f t="shared" si="85"/>
        <v/>
      </c>
      <c r="BQ105" s="113" t="str">
        <f t="shared" si="86"/>
        <v/>
      </c>
      <c r="BR105" s="33" t="str">
        <f t="shared" si="87"/>
        <v/>
      </c>
    </row>
    <row r="106" spans="1:70" ht="15" customHeight="1">
      <c r="A106" s="193">
        <v>98</v>
      </c>
      <c r="B106" s="7"/>
      <c r="C106" s="7"/>
      <c r="D106" s="19"/>
      <c r="E106" s="7"/>
      <c r="F106" s="7"/>
      <c r="G106" s="7"/>
      <c r="H106" s="7"/>
      <c r="I106" s="28"/>
      <c r="J106" s="7"/>
      <c r="K106" s="29"/>
      <c r="L106" s="678"/>
      <c r="M106" s="7"/>
      <c r="N106" s="672"/>
      <c r="O106" s="11"/>
      <c r="P106" s="107" t="str">
        <f t="shared" si="52"/>
        <v/>
      </c>
      <c r="Q106" s="699"/>
      <c r="R106" s="703"/>
      <c r="S106" s="711"/>
      <c r="T106" s="684"/>
      <c r="U106" s="107" t="str">
        <f t="shared" si="53"/>
        <v/>
      </c>
      <c r="V106" s="695"/>
      <c r="W106" s="685"/>
      <c r="X106" s="707"/>
      <c r="Y106" s="684"/>
      <c r="Z106" s="108" t="str">
        <f t="shared" si="54"/>
        <v/>
      </c>
      <c r="AA106" s="25"/>
      <c r="AB106" s="287" t="str" cm="1">
        <f t="array" ref="AB106">IF((_xlfn.IFS(TRIM(SUBSTITUTE(AA106,CHAR(160),""))="Devis 1",IFERROR(VALUE(TRIM(SUBSTITUTE(N106,CHAR(160),""))),0),TRIM(SUBSTITUTE(AA106,CHAR(160),""))="Devis 2",IFERROR(VALUE(TRIM(SUBSTITUTE(S106,CHAR(160),""))),0),TRIM(SUBSTITUTE(AA106,CHAR(160),""))="Devis 3",IFERROR(VALUE(TRIM(SUBSTITUTE(X106,CHAR(160),""))),0),TRUE,0)*IFERROR(VALUE(TRIM(SUBSTITUTE(D106,CHAR(160),""))),0))=0,"",_xlfn.IFS(TRIM(SUBSTITUTE(AA106,CHAR(160),""))="Devis 1",IFERROR(VALUE(TRIM(SUBSTITUTE(N106,CHAR(160),""))),0),TRIM(SUBSTITUTE(AA106,CHAR(160),""))="Devis 2",IFERROR(VALUE(TRIM(SUBSTITUTE(S106,CHAR(160),""))),0),TRIM(SUBSTITUTE(AA106,CHAR(160),""))="Devis 3",IFERROR(VALUE(TRIM(SUBSTITUTE(X106,CHAR(160),""))),0),TRUE,0)*IFERROR(VALUE(TRIM(SUBSTITUTE(D106,CHAR(160),""))),0))</f>
        <v/>
      </c>
      <c r="AC106" s="275" t="str" cm="1">
        <f t="array" ref="AC106">IF(_xlfn.IFS(TRIM(SUBSTITUTE(AA106,CHAR(160),""))="Devis 1",IFERROR(VALUE(TRIM(SUBSTITUTE(O106,CHAR(160),""))),0),TRIM(SUBSTITUTE(AA106,CHAR(160),""))="Devis 2",IFERROR(VALUE(TRIM(SUBSTITUTE(T106,CHAR(160),""))),0),TRIM(SUBSTITUTE(AA106,CHAR(160),""))="Devis 3",IFERROR(VALUE(TRIM(SUBSTITUTE(Y106,CHAR(160),""))),0),TRUE,0)*IFERROR(VALUE(TRIM(SUBSTITUTE(D106,CHAR(160),""))),0)=0,IF(AB106&lt;&gt;"",0,""),_xlfn.IFS(TRIM(SUBSTITUTE(AA106,CHAR(160),""))="Devis 1",IFERROR(VALUE(TRIM(SUBSTITUTE(O106,CHAR(160),""))),0),TRIM(SUBSTITUTE(AA106,CHAR(160),""))="Devis 2",IFERROR(VALUE(TRIM(SUBSTITUTE(T106,CHAR(160),""))),0),TRIM(SUBSTITUTE(AA106,CHAR(160),""))="Devis 3",IFERROR(VALUE(TRIM(SUBSTITUTE(Y106,CHAR(160),""))),0),TRUE,0)*IFERROR(VALUE(TRIM(SUBSTITUTE(D106,CHAR(160),""))),0))</f>
        <v/>
      </c>
      <c r="AD106" s="285" t="str">
        <f t="shared" si="88"/>
        <v/>
      </c>
      <c r="AE106" s="26"/>
      <c r="AF106" s="109" t="str">
        <f t="shared" si="55"/>
        <v/>
      </c>
      <c r="AG106" s="109" t="str">
        <f t="shared" si="56"/>
        <v/>
      </c>
      <c r="AH106" s="885" t="str">
        <f t="shared" si="57"/>
        <v/>
      </c>
      <c r="AI106" s="109" t="str">
        <f t="shared" si="58"/>
        <v/>
      </c>
      <c r="AJ106" s="109" t="str">
        <f t="shared" si="59"/>
        <v/>
      </c>
      <c r="AK106" s="109" t="str">
        <f t="shared" si="60"/>
        <v/>
      </c>
      <c r="AL106" s="109" t="str">
        <f t="shared" si="61"/>
        <v/>
      </c>
      <c r="AM106" s="109" t="str">
        <f t="shared" si="62"/>
        <v/>
      </c>
      <c r="AN106" s="109" t="str">
        <f t="shared" si="63"/>
        <v/>
      </c>
      <c r="AO106" s="109" t="str">
        <f t="shared" si="64"/>
        <v/>
      </c>
      <c r="AP106" s="754" t="str">
        <f t="shared" si="65"/>
        <v/>
      </c>
      <c r="AQ106" s="755" t="str">
        <f t="shared" si="66"/>
        <v/>
      </c>
      <c r="AR106" s="195" t="str">
        <f t="shared" si="67"/>
        <v/>
      </c>
      <c r="AS106" s="195" t="str">
        <f t="shared" si="68"/>
        <v/>
      </c>
      <c r="AT106" s="664" t="str">
        <f t="shared" si="69"/>
        <v/>
      </c>
      <c r="AU106" s="756" t="str">
        <f t="shared" si="70"/>
        <v/>
      </c>
      <c r="AV106" s="195" t="str">
        <f t="shared" si="71"/>
        <v/>
      </c>
      <c r="AW106" s="195" t="str">
        <f t="shared" si="72"/>
        <v/>
      </c>
      <c r="AX106" s="195" t="str">
        <f t="shared" si="73"/>
        <v/>
      </c>
      <c r="AY106" s="728" t="str">
        <f t="shared" si="74"/>
        <v/>
      </c>
      <c r="AZ106" s="195" t="str">
        <f t="shared" si="75"/>
        <v/>
      </c>
      <c r="BA106" s="195" t="str">
        <f t="shared" si="76"/>
        <v/>
      </c>
      <c r="BB106" s="195" t="str">
        <f t="shared" si="77"/>
        <v/>
      </c>
      <c r="BC106" s="195" t="str">
        <f t="shared" si="78"/>
        <v/>
      </c>
      <c r="BD106" s="112" t="str">
        <f t="shared" si="79"/>
        <v/>
      </c>
      <c r="BE106" s="109" t="str">
        <f t="shared" si="80"/>
        <v/>
      </c>
      <c r="BF106" s="602"/>
      <c r="BG106" s="113" t="str">
        <f t="shared" si="81"/>
        <v/>
      </c>
      <c r="BH106" s="113" t="str">
        <f t="shared" si="82"/>
        <v/>
      </c>
      <c r="BI106" s="113" t="str">
        <f t="shared" si="83"/>
        <v/>
      </c>
      <c r="BJ106" s="281" t="str" cm="1">
        <f t="array" ref="BJ106">IF($AH106="","",
_xlfn.IFS(
$BE106="Devis 1",
IF(ISBLANK(AR106),"",IFERROR(VALUE(TRIM(SUBSTITUTE(AR106,CHAR(160),""))),0)*IFERROR(VALUE(TRIM(SUBSTITUTE($AH106,CHAR(160),""))),0)),
$BE106="Devis 2",
IF(ISBLANK(AW106),"",IFERROR(VALUE(TRIM(SUBSTITUTE(AW106,CHAR(160),""))),0)*IFERROR(VALUE(TRIM(SUBSTITUTE($AH106,CHAR(160),""))),0)),
$BE106="Devis 3",
IF(ISBLANK(BB106),"",IFERROR(VALUE(TRIM(SUBSTITUTE(BB106,CHAR(160),""))),0)*IFERROR(VALUE(TRIM(SUBSTITUTE($AH106,CHAR(160),""))),0)),
TRUE,0
)
)</f>
        <v/>
      </c>
      <c r="BK106" s="281" t="str" cm="1">
        <f t="array" ref="BK106">IF($AH106="","",
_xlfn.IFS(
$BE106="Devis 1",
IF(ISBLANK(AS106),"",IFERROR(VALUE(TRIM(SUBSTITUTE(AS106,CHAR(160),""))),0)*IFERROR(VALUE(TRIM(SUBSTITUTE($AH106,CHAR(160),""))),0)),
$BE106="Devis 2",
IF(ISBLANK(AX106),"",IFERROR(VALUE(TRIM(SUBSTITUTE(AX106,CHAR(160),""))),0)*IFERROR(VALUE(TRIM(SUBSTITUTE($AH106,CHAR(160),""))),0)),
$BE106="Devis 3",
IF(ISBLANK(BC106),"",IFERROR(VALUE(TRIM(SUBSTITUTE(BC106,CHAR(160),""))),0)*IFERROR(VALUE(TRIM(SUBSTITUTE($AH106,CHAR(160),""))),0)),
TRUE,0
)
)</f>
        <v/>
      </c>
      <c r="BL106" s="281" t="str">
        <f t="shared" si="84"/>
        <v/>
      </c>
      <c r="BM106" s="602"/>
      <c r="BN106" s="23" t="str" cm="1">
        <f t="array" ref="BN106">IF(OR(BL106="",BI106="",BJ106="",BG106="",BK106="",BH106=""),"",_xlfn.IFS(
ROUND(IFERROR(VALUE(TRIM(SUBSTITUTE(BL106,CHAR(160),""))),0),2)&gt;
ROUND(IFERROR(VALUE(TRIM(SUBSTITUTE(BI106,CHAR(160),""))),0),2),
"KO : Le montant retenu TTC est supérieur au montant raisonnable TTC. Merci de revoir la ligne de dépense ou plafonner son montant.",
ROUND(IFERROR(VALUE(TRIM(SUBSTITUTE(BJ106,CHAR(160),""))),0),2)&gt;
ROUND(IFERROR(VALUE(TRIM(SUBSTITUTE(BG106,CHAR(160),""))),0),2),
"Attention : Le montant retenu HT est supérieur au montant HT raisonnable. Merci de revoir la ligne de dépense, plafonner son montant, ou justifier la reventillation HT / TVA.",
ROUND(IFERROR(VALUE(TRIM(SUBSTITUTE(BK106,CHAR(160),""))),0),2)&gt;
ROUND(IFERROR(VALUE(TRIM(SUBSTITUTE(BH106,CHAR(160),""))),0),2),
"Attention : Le montant TVA retenu est supérieur au montant TVA raisonnable. Merci de revoir la ligne de dépense, plafonner son montant, ou justifier la reventillation HT / TVA.",
ROUND(IFERROR(VALUE(TRIM(SUBSTITUTE(BL106,CHAR(160),""))),0),2)&gt;
ROUND(IFERROR(VALUE(TRIM(SUBSTITUTE(MIN(P106,U106,Z106),CHAR(160),""))),0),2),
"Attention : Le devis retenu n'est pas le moins cher. Une justification de la part du porteur est nécessaire.",
ROUND(IFERROR(VALUE(TRIM(SUBSTITUTE(BL106,CHAR(160),""))),0),2)=0,
"Attention : montant présenté entièrement écarté",
ROUND(IFERROR(VALUE(TRIM(SUBSTITUTE(BI106,CHAR(160),""))),0),2)=
ROUND(IFERROR(VALUE(TRIM(SUBSTITUTE(BL106,CHAR(160),""))),0),2),
"OK",
ROUND(IFERROR(VALUE(TRIM(SUBSTITUTE(BI106,CHAR(160),""))),0),2)&gt;
ROUND(IFERROR(VALUE(TRIM(SUBSTITUTE(BL106,CHAR(160),""))),0),2),
" OK : Montant instruit inférieur au montant raisonnable.",
TRUE,""
))</f>
        <v/>
      </c>
      <c r="BO106" s="23" t="str" cm="1">
        <f t="array" ref="BO106">IF(OR(BL106="",AD106="",BJ106="",AB106="",BK106="",AC106=""),"",_xlfn.IFS(
ROUND(IFERROR(VALUE(TRIM(SUBSTITUTE(BL106,CHAR(160),""))),0),2)&gt;
ROUND(IFERROR(VALUE(TRIM(SUBSTITUTE(AD106,CHAR(160),""))),0),2),
"KO : Le montant retenu TTC est supérieur au montant présenté TTC. Merci de revoir la ligne de dépense ou plafonner son montant.",
ROUND(IFERROR(VALUE(TRIM(SUBSTITUTE(BJ106,CHAR(160),""))),0),2)&gt;
ROUND(IFERROR(VALUE(TRIM(SUBSTITUTE(AB106,CHAR(160),""))),0),2),
"Attention : Le montant retenu HT est supérieur au montant HT présenté. Merci de revoir la ligne de dépense, plafonner son montant, ou justifier la reventillation HT / TVA.",
ROUND(IFERROR(VALUE(TRIM(SUBSTITUTE(BK106,CHAR(160),""))),0),2)&gt;
ROUND(IFERROR(VALUE(TRIM(SUBSTITUTE(AC106,CHAR(160),""))),0),2),
"Attention : Le montant TVA retenu est supérieur au montant TVA présenté. Merci de revoir la ligne de dépense, plafonner son montant, ou justifier la reventillation HT / TVA.",
ROUND(IFERROR(VALUE(TRIM(SUBSTITUTE(AD106,CHAR(160),""))),0),2)=0,
"",
ROUND(IFERROR(VALUE(TRIM(SUBSTITUTE(BL106,CHAR(160),""))),0),2)=
ROUND(IFERROR(VALUE(TRIM(SUBSTITUTE(AD106,CHAR(160),""))),0),2),
"OK",
ROUND(IFERROR(VALUE(TRIM(SUBSTITUTE(BL106,CHAR(160),""))),0),2)=0,
"Attention : Montant présenté entièrement rejeté.",
ROUND(IFERROR(VALUE(TRIM(SUBSTITUTE(BL106,CHAR(160),""))),0),2)&lt;
ROUND(IFERROR(VALUE(TRIM(SUBSTITUTE(AD106,CHAR(160),""))),0),2),
"Attention : Montant présenté partiellement rejeté.",
TRUE,""
))</f>
        <v/>
      </c>
      <c r="BP106" s="113" t="str">
        <f t="shared" si="85"/>
        <v/>
      </c>
      <c r="BQ106" s="113" t="str">
        <f t="shared" si="86"/>
        <v/>
      </c>
      <c r="BR106" s="33" t="str">
        <f t="shared" si="87"/>
        <v/>
      </c>
    </row>
    <row r="107" spans="1:70" ht="15" customHeight="1">
      <c r="A107" s="193">
        <v>99</v>
      </c>
      <c r="B107" s="7"/>
      <c r="C107" s="7"/>
      <c r="D107" s="19"/>
      <c r="E107" s="7"/>
      <c r="F107" s="7"/>
      <c r="G107" s="7"/>
      <c r="H107" s="7"/>
      <c r="I107" s="28"/>
      <c r="J107" s="7"/>
      <c r="K107" s="29"/>
      <c r="L107" s="678"/>
      <c r="M107" s="7"/>
      <c r="N107" s="672"/>
      <c r="O107" s="11"/>
      <c r="P107" s="107" t="str">
        <f t="shared" si="52"/>
        <v/>
      </c>
      <c r="Q107" s="699"/>
      <c r="R107" s="713"/>
      <c r="S107" s="712"/>
      <c r="T107" s="684"/>
      <c r="U107" s="107" t="str">
        <f t="shared" si="53"/>
        <v/>
      </c>
      <c r="V107" s="695"/>
      <c r="W107" s="685"/>
      <c r="X107" s="708"/>
      <c r="Y107" s="684"/>
      <c r="Z107" s="108" t="str">
        <f t="shared" si="54"/>
        <v/>
      </c>
      <c r="AA107" s="25"/>
      <c r="AB107" s="287" t="str" cm="1">
        <f t="array" ref="AB107">IF((_xlfn.IFS(TRIM(SUBSTITUTE(AA107,CHAR(160),""))="Devis 1",IFERROR(VALUE(TRIM(SUBSTITUTE(N107,CHAR(160),""))),0),TRIM(SUBSTITUTE(AA107,CHAR(160),""))="Devis 2",IFERROR(VALUE(TRIM(SUBSTITUTE(S107,CHAR(160),""))),0),TRIM(SUBSTITUTE(AA107,CHAR(160),""))="Devis 3",IFERROR(VALUE(TRIM(SUBSTITUTE(X107,CHAR(160),""))),0),TRUE,0)*IFERROR(VALUE(TRIM(SUBSTITUTE(D107,CHAR(160),""))),0))=0,"",_xlfn.IFS(TRIM(SUBSTITUTE(AA107,CHAR(160),""))="Devis 1",IFERROR(VALUE(TRIM(SUBSTITUTE(N107,CHAR(160),""))),0),TRIM(SUBSTITUTE(AA107,CHAR(160),""))="Devis 2",IFERROR(VALUE(TRIM(SUBSTITUTE(S107,CHAR(160),""))),0),TRIM(SUBSTITUTE(AA107,CHAR(160),""))="Devis 3",IFERROR(VALUE(TRIM(SUBSTITUTE(X107,CHAR(160),""))),0),TRUE,0)*IFERROR(VALUE(TRIM(SUBSTITUTE(D107,CHAR(160),""))),0))</f>
        <v/>
      </c>
      <c r="AC107" s="275" t="str" cm="1">
        <f t="array" ref="AC107">IF(_xlfn.IFS(TRIM(SUBSTITUTE(AA107,CHAR(160),""))="Devis 1",IFERROR(VALUE(TRIM(SUBSTITUTE(O107,CHAR(160),""))),0),TRIM(SUBSTITUTE(AA107,CHAR(160),""))="Devis 2",IFERROR(VALUE(TRIM(SUBSTITUTE(T107,CHAR(160),""))),0),TRIM(SUBSTITUTE(AA107,CHAR(160),""))="Devis 3",IFERROR(VALUE(TRIM(SUBSTITUTE(Y107,CHAR(160),""))),0),TRUE,0)*IFERROR(VALUE(TRIM(SUBSTITUTE(D107,CHAR(160),""))),0)=0,IF(AB107&lt;&gt;"",0,""),_xlfn.IFS(TRIM(SUBSTITUTE(AA107,CHAR(160),""))="Devis 1",IFERROR(VALUE(TRIM(SUBSTITUTE(O107,CHAR(160),""))),0),TRIM(SUBSTITUTE(AA107,CHAR(160),""))="Devis 2",IFERROR(VALUE(TRIM(SUBSTITUTE(T107,CHAR(160),""))),0),TRIM(SUBSTITUTE(AA107,CHAR(160),""))="Devis 3",IFERROR(VALUE(TRIM(SUBSTITUTE(Y107,CHAR(160),""))),0),TRUE,0)*IFERROR(VALUE(TRIM(SUBSTITUTE(D107,CHAR(160),""))),0))</f>
        <v/>
      </c>
      <c r="AD107" s="285" t="str">
        <f t="shared" si="88"/>
        <v/>
      </c>
      <c r="AE107" s="26"/>
      <c r="AF107" s="109" t="str">
        <f t="shared" si="55"/>
        <v/>
      </c>
      <c r="AG107" s="109" t="str">
        <f t="shared" si="56"/>
        <v/>
      </c>
      <c r="AH107" s="885" t="str">
        <f t="shared" si="57"/>
        <v/>
      </c>
      <c r="AI107" s="109" t="str">
        <f t="shared" si="58"/>
        <v/>
      </c>
      <c r="AJ107" s="109" t="str">
        <f t="shared" si="59"/>
        <v/>
      </c>
      <c r="AK107" s="109" t="str">
        <f t="shared" si="60"/>
        <v/>
      </c>
      <c r="AL107" s="109" t="str">
        <f t="shared" si="61"/>
        <v/>
      </c>
      <c r="AM107" s="109" t="str">
        <f t="shared" si="62"/>
        <v/>
      </c>
      <c r="AN107" s="109" t="str">
        <f t="shared" si="63"/>
        <v/>
      </c>
      <c r="AO107" s="109" t="str">
        <f t="shared" si="64"/>
        <v/>
      </c>
      <c r="AP107" s="754" t="str">
        <f t="shared" si="65"/>
        <v/>
      </c>
      <c r="AQ107" s="755" t="str">
        <f t="shared" si="66"/>
        <v/>
      </c>
      <c r="AR107" s="195" t="str">
        <f t="shared" si="67"/>
        <v/>
      </c>
      <c r="AS107" s="195" t="str">
        <f t="shared" si="68"/>
        <v/>
      </c>
      <c r="AT107" s="664" t="str">
        <f t="shared" si="69"/>
        <v/>
      </c>
      <c r="AU107" s="756" t="str">
        <f t="shared" si="70"/>
        <v/>
      </c>
      <c r="AV107" s="195" t="str">
        <f t="shared" si="71"/>
        <v/>
      </c>
      <c r="AW107" s="195" t="str">
        <f t="shared" si="72"/>
        <v/>
      </c>
      <c r="AX107" s="195" t="str">
        <f t="shared" si="73"/>
        <v/>
      </c>
      <c r="AY107" s="728" t="str">
        <f t="shared" si="74"/>
        <v/>
      </c>
      <c r="AZ107" s="195" t="str">
        <f t="shared" si="75"/>
        <v/>
      </c>
      <c r="BA107" s="195" t="str">
        <f t="shared" si="76"/>
        <v/>
      </c>
      <c r="BB107" s="195" t="str">
        <f t="shared" si="77"/>
        <v/>
      </c>
      <c r="BC107" s="195" t="str">
        <f t="shared" si="78"/>
        <v/>
      </c>
      <c r="BD107" s="112" t="str">
        <f t="shared" si="79"/>
        <v/>
      </c>
      <c r="BE107" s="109" t="str">
        <f t="shared" si="80"/>
        <v/>
      </c>
      <c r="BF107" s="602"/>
      <c r="BG107" s="113" t="str">
        <f t="shared" si="81"/>
        <v/>
      </c>
      <c r="BH107" s="113" t="str">
        <f t="shared" si="82"/>
        <v/>
      </c>
      <c r="BI107" s="113" t="str">
        <f t="shared" si="83"/>
        <v/>
      </c>
      <c r="BJ107" s="281" t="str" cm="1">
        <f t="array" ref="BJ107">IF($AH107="","",
_xlfn.IFS(
$BE107="Devis 1",
IF(ISBLANK(AR107),"",IFERROR(VALUE(TRIM(SUBSTITUTE(AR107,CHAR(160),""))),0)*IFERROR(VALUE(TRIM(SUBSTITUTE($AH107,CHAR(160),""))),0)),
$BE107="Devis 2",
IF(ISBLANK(AW107),"",IFERROR(VALUE(TRIM(SUBSTITUTE(AW107,CHAR(160),""))),0)*IFERROR(VALUE(TRIM(SUBSTITUTE($AH107,CHAR(160),""))),0)),
$BE107="Devis 3",
IF(ISBLANK(BB107),"",IFERROR(VALUE(TRIM(SUBSTITUTE(BB107,CHAR(160),""))),0)*IFERROR(VALUE(TRIM(SUBSTITUTE($AH107,CHAR(160),""))),0)),
TRUE,0
)
)</f>
        <v/>
      </c>
      <c r="BK107" s="281" t="str" cm="1">
        <f t="array" ref="BK107">IF($AH107="","",
_xlfn.IFS(
$BE107="Devis 1",
IF(ISBLANK(AS107),"",IFERROR(VALUE(TRIM(SUBSTITUTE(AS107,CHAR(160),""))),0)*IFERROR(VALUE(TRIM(SUBSTITUTE($AH107,CHAR(160),""))),0)),
$BE107="Devis 2",
IF(ISBLANK(AX107),"",IFERROR(VALUE(TRIM(SUBSTITUTE(AX107,CHAR(160),""))),0)*IFERROR(VALUE(TRIM(SUBSTITUTE($AH107,CHAR(160),""))),0)),
$BE107="Devis 3",
IF(ISBLANK(BC107),"",IFERROR(VALUE(TRIM(SUBSTITUTE(BC107,CHAR(160),""))),0)*IFERROR(VALUE(TRIM(SUBSTITUTE($AH107,CHAR(160),""))),0)),
TRUE,0
)
)</f>
        <v/>
      </c>
      <c r="BL107" s="281" t="str">
        <f t="shared" si="84"/>
        <v/>
      </c>
      <c r="BM107" s="602"/>
      <c r="BN107" s="23" t="str" cm="1">
        <f t="array" ref="BN107">IF(OR(BL107="",BI107="",BJ107="",BG107="",BK107="",BH107=""),"",_xlfn.IFS(
ROUND(IFERROR(VALUE(TRIM(SUBSTITUTE(BL107,CHAR(160),""))),0),2)&gt;
ROUND(IFERROR(VALUE(TRIM(SUBSTITUTE(BI107,CHAR(160),""))),0),2),
"KO : Le montant retenu TTC est supérieur au montant raisonnable TTC. Merci de revoir la ligne de dépense ou plafonner son montant.",
ROUND(IFERROR(VALUE(TRIM(SUBSTITUTE(BJ107,CHAR(160),""))),0),2)&gt;
ROUND(IFERROR(VALUE(TRIM(SUBSTITUTE(BG107,CHAR(160),""))),0),2),
"Attention : Le montant retenu HT est supérieur au montant HT raisonnable. Merci de revoir la ligne de dépense, plafonner son montant, ou justifier la reventillation HT / TVA.",
ROUND(IFERROR(VALUE(TRIM(SUBSTITUTE(BK107,CHAR(160),""))),0),2)&gt;
ROUND(IFERROR(VALUE(TRIM(SUBSTITUTE(BH107,CHAR(160),""))),0),2),
"Attention : Le montant TVA retenu est supérieur au montant TVA raisonnable. Merci de revoir la ligne de dépense, plafonner son montant, ou justifier la reventillation HT / TVA.",
ROUND(IFERROR(VALUE(TRIM(SUBSTITUTE(BL107,CHAR(160),""))),0),2)&gt;
ROUND(IFERROR(VALUE(TRIM(SUBSTITUTE(MIN(P107,U107,Z107),CHAR(160),""))),0),2),
"Attention : Le devis retenu n'est pas le moins cher. Une justification de la part du porteur est nécessaire.",
ROUND(IFERROR(VALUE(TRIM(SUBSTITUTE(BL107,CHAR(160),""))),0),2)=0,
"Attention : montant présenté entièrement écarté",
ROUND(IFERROR(VALUE(TRIM(SUBSTITUTE(BI107,CHAR(160),""))),0),2)=
ROUND(IFERROR(VALUE(TRIM(SUBSTITUTE(BL107,CHAR(160),""))),0),2),
"OK",
ROUND(IFERROR(VALUE(TRIM(SUBSTITUTE(BI107,CHAR(160),""))),0),2)&gt;
ROUND(IFERROR(VALUE(TRIM(SUBSTITUTE(BL107,CHAR(160),""))),0),2),
" OK : Montant instruit inférieur au montant raisonnable.",
TRUE,""
))</f>
        <v/>
      </c>
      <c r="BO107" s="23" t="str" cm="1">
        <f t="array" ref="BO107">IF(OR(BL107="",AD107="",BJ107="",AB107="",BK107="",AC107=""),"",_xlfn.IFS(
ROUND(IFERROR(VALUE(TRIM(SUBSTITUTE(BL107,CHAR(160),""))),0),2)&gt;
ROUND(IFERROR(VALUE(TRIM(SUBSTITUTE(AD107,CHAR(160),""))),0),2),
"KO : Le montant retenu TTC est supérieur au montant présenté TTC. Merci de revoir la ligne de dépense ou plafonner son montant.",
ROUND(IFERROR(VALUE(TRIM(SUBSTITUTE(BJ107,CHAR(160),""))),0),2)&gt;
ROUND(IFERROR(VALUE(TRIM(SUBSTITUTE(AB107,CHAR(160),""))),0),2),
"Attention : Le montant retenu HT est supérieur au montant HT présenté. Merci de revoir la ligne de dépense, plafonner son montant, ou justifier la reventillation HT / TVA.",
ROUND(IFERROR(VALUE(TRIM(SUBSTITUTE(BK107,CHAR(160),""))),0),2)&gt;
ROUND(IFERROR(VALUE(TRIM(SUBSTITUTE(AC107,CHAR(160),""))),0),2),
"Attention : Le montant TVA retenu est supérieur au montant TVA présenté. Merci de revoir la ligne de dépense, plafonner son montant, ou justifier la reventillation HT / TVA.",
ROUND(IFERROR(VALUE(TRIM(SUBSTITUTE(AD107,CHAR(160),""))),0),2)=0,
"",
ROUND(IFERROR(VALUE(TRIM(SUBSTITUTE(BL107,CHAR(160),""))),0),2)=
ROUND(IFERROR(VALUE(TRIM(SUBSTITUTE(AD107,CHAR(160),""))),0),2),
"OK",
ROUND(IFERROR(VALUE(TRIM(SUBSTITUTE(BL107,CHAR(160),""))),0),2)=0,
"Attention : Montant présenté entièrement rejeté.",
ROUND(IFERROR(VALUE(TRIM(SUBSTITUTE(BL107,CHAR(160),""))),0),2)&lt;
ROUND(IFERROR(VALUE(TRIM(SUBSTITUTE(AD107,CHAR(160),""))),0),2),
"Attention : Montant présenté partiellement rejeté.",
TRUE,""
))</f>
        <v/>
      </c>
      <c r="BP107" s="113" t="str">
        <f t="shared" si="85"/>
        <v/>
      </c>
      <c r="BQ107" s="113" t="str">
        <f t="shared" si="86"/>
        <v/>
      </c>
      <c r="BR107" s="33" t="str">
        <f t="shared" si="87"/>
        <v/>
      </c>
    </row>
    <row r="108" spans="1:70" ht="15" customHeight="1" thickBot="1">
      <c r="A108" s="193">
        <v>100</v>
      </c>
      <c r="B108" s="7"/>
      <c r="C108" s="7"/>
      <c r="D108" s="19"/>
      <c r="E108" s="7"/>
      <c r="F108" s="7"/>
      <c r="G108" s="7"/>
      <c r="H108" s="7"/>
      <c r="I108" s="28"/>
      <c r="J108" s="7"/>
      <c r="K108" s="29"/>
      <c r="L108" s="679"/>
      <c r="M108" s="680"/>
      <c r="N108" s="681"/>
      <c r="O108" s="682"/>
      <c r="P108" s="687" t="str">
        <f t="shared" si="52"/>
        <v/>
      </c>
      <c r="Q108" s="690"/>
      <c r="R108" s="719"/>
      <c r="S108" s="718"/>
      <c r="T108" s="691"/>
      <c r="U108" s="693" t="str">
        <f t="shared" si="53"/>
        <v/>
      </c>
      <c r="V108" s="696"/>
      <c r="W108" s="721"/>
      <c r="X108" s="720"/>
      <c r="Y108" s="18"/>
      <c r="Z108" s="247" t="str">
        <f t="shared" si="54"/>
        <v/>
      </c>
      <c r="AA108" s="25"/>
      <c r="AB108" s="287" t="str" cm="1">
        <f t="array" ref="AB108">IF((_xlfn.IFS(TRIM(SUBSTITUTE(AA108,CHAR(160),""))="Devis 1",IFERROR(VALUE(TRIM(SUBSTITUTE(N108,CHAR(160),""))),0),TRIM(SUBSTITUTE(AA108,CHAR(160),""))="Devis 2",IFERROR(VALUE(TRIM(SUBSTITUTE(S108,CHAR(160),""))),0),TRIM(SUBSTITUTE(AA108,CHAR(160),""))="Devis 3",IFERROR(VALUE(TRIM(SUBSTITUTE(X108,CHAR(160),""))),0),TRUE,0)*IFERROR(VALUE(TRIM(SUBSTITUTE(D108,CHAR(160),""))),0))=0,"",_xlfn.IFS(TRIM(SUBSTITUTE(AA108,CHAR(160),""))="Devis 1",IFERROR(VALUE(TRIM(SUBSTITUTE(N108,CHAR(160),""))),0),TRIM(SUBSTITUTE(AA108,CHAR(160),""))="Devis 2",IFERROR(VALUE(TRIM(SUBSTITUTE(S108,CHAR(160),""))),0),TRIM(SUBSTITUTE(AA108,CHAR(160),""))="Devis 3",IFERROR(VALUE(TRIM(SUBSTITUTE(X108,CHAR(160),""))),0),TRUE,0)*IFERROR(VALUE(TRIM(SUBSTITUTE(D108,CHAR(160),""))),0))</f>
        <v/>
      </c>
      <c r="AC108" s="275" t="str" cm="1">
        <f t="array" ref="AC108">IF(_xlfn.IFS(TRIM(SUBSTITUTE(AA108,CHAR(160),""))="Devis 1",IFERROR(VALUE(TRIM(SUBSTITUTE(O108,CHAR(160),""))),0),TRIM(SUBSTITUTE(AA108,CHAR(160),""))="Devis 2",IFERROR(VALUE(TRIM(SUBSTITUTE(T108,CHAR(160),""))),0),TRIM(SUBSTITUTE(AA108,CHAR(160),""))="Devis 3",IFERROR(VALUE(TRIM(SUBSTITUTE(Y108,CHAR(160),""))),0),TRUE,0)*IFERROR(VALUE(TRIM(SUBSTITUTE(D108,CHAR(160),""))),0)=0,IF(AB108&lt;&gt;"",0,""),_xlfn.IFS(TRIM(SUBSTITUTE(AA108,CHAR(160),""))="Devis 1",IFERROR(VALUE(TRIM(SUBSTITUTE(O108,CHAR(160),""))),0),TRIM(SUBSTITUTE(AA108,CHAR(160),""))="Devis 2",IFERROR(VALUE(TRIM(SUBSTITUTE(T108,CHAR(160),""))),0),TRIM(SUBSTITUTE(AA108,CHAR(160),""))="Devis 3",IFERROR(VALUE(TRIM(SUBSTITUTE(Y108,CHAR(160),""))),0),TRUE,0)*IFERROR(VALUE(TRIM(SUBSTITUTE(D108,CHAR(160),""))),0))</f>
        <v/>
      </c>
      <c r="AD108" s="285" t="str">
        <f t="shared" si="88"/>
        <v/>
      </c>
      <c r="AE108" s="26"/>
      <c r="AF108" s="109" t="str">
        <f t="shared" si="55"/>
        <v/>
      </c>
      <c r="AG108" s="109" t="str">
        <f t="shared" si="56"/>
        <v/>
      </c>
      <c r="AH108" s="885" t="str">
        <f t="shared" si="57"/>
        <v/>
      </c>
      <c r="AI108" s="109" t="str">
        <f t="shared" si="58"/>
        <v/>
      </c>
      <c r="AJ108" s="109" t="str">
        <f t="shared" si="59"/>
        <v/>
      </c>
      <c r="AK108" s="109" t="str">
        <f t="shared" si="60"/>
        <v/>
      </c>
      <c r="AL108" s="109" t="str">
        <f t="shared" si="61"/>
        <v/>
      </c>
      <c r="AM108" s="109" t="str">
        <f t="shared" si="62"/>
        <v/>
      </c>
      <c r="AN108" s="109" t="str">
        <f t="shared" si="63"/>
        <v/>
      </c>
      <c r="AO108" s="109" t="str">
        <f t="shared" si="64"/>
        <v/>
      </c>
      <c r="AP108" s="754" t="str">
        <f t="shared" si="65"/>
        <v/>
      </c>
      <c r="AQ108" s="755" t="str">
        <f t="shared" si="66"/>
        <v/>
      </c>
      <c r="AR108" s="195" t="str">
        <f t="shared" si="67"/>
        <v/>
      </c>
      <c r="AS108" s="195" t="str">
        <f t="shared" si="68"/>
        <v/>
      </c>
      <c r="AT108" s="664" t="str">
        <f t="shared" si="69"/>
        <v/>
      </c>
      <c r="AU108" s="756" t="str">
        <f t="shared" si="70"/>
        <v/>
      </c>
      <c r="AV108" s="195" t="str">
        <f t="shared" si="71"/>
        <v/>
      </c>
      <c r="AW108" s="195" t="str">
        <f t="shared" si="72"/>
        <v/>
      </c>
      <c r="AX108" s="195" t="str">
        <f t="shared" si="73"/>
        <v/>
      </c>
      <c r="AY108" s="728" t="str">
        <f t="shared" si="74"/>
        <v/>
      </c>
      <c r="AZ108" s="195" t="str">
        <f t="shared" si="75"/>
        <v/>
      </c>
      <c r="BA108" s="195" t="str">
        <f t="shared" si="76"/>
        <v/>
      </c>
      <c r="BB108" s="195" t="str">
        <f t="shared" si="77"/>
        <v/>
      </c>
      <c r="BC108" s="195" t="str">
        <f t="shared" si="78"/>
        <v/>
      </c>
      <c r="BD108" s="112" t="str">
        <f t="shared" si="79"/>
        <v/>
      </c>
      <c r="BE108" s="109" t="str">
        <f t="shared" si="80"/>
        <v/>
      </c>
      <c r="BF108" s="602"/>
      <c r="BG108" s="113" t="str">
        <f t="shared" si="81"/>
        <v/>
      </c>
      <c r="BH108" s="113" t="str">
        <f t="shared" si="82"/>
        <v/>
      </c>
      <c r="BI108" s="113" t="str">
        <f t="shared" si="83"/>
        <v/>
      </c>
      <c r="BJ108" s="281" t="str" cm="1">
        <f t="array" ref="BJ108">IF($AH108="","",
_xlfn.IFS(
$BE108="Devis 1",
IF(ISBLANK(AR108),"",IFERROR(VALUE(TRIM(SUBSTITUTE(AR108,CHAR(160),""))),0)*IFERROR(VALUE(TRIM(SUBSTITUTE($AH108,CHAR(160),""))),0)),
$BE108="Devis 2",
IF(ISBLANK(AW108),"",IFERROR(VALUE(TRIM(SUBSTITUTE(AW108,CHAR(160),""))),0)*IFERROR(VALUE(TRIM(SUBSTITUTE($AH108,CHAR(160),""))),0)),
$BE108="Devis 3",
IF(ISBLANK(BB108),"",IFERROR(VALUE(TRIM(SUBSTITUTE(BB108,CHAR(160),""))),0)*IFERROR(VALUE(TRIM(SUBSTITUTE($AH108,CHAR(160),""))),0)),
TRUE,0
)
)</f>
        <v/>
      </c>
      <c r="BK108" s="281" t="str" cm="1">
        <f t="array" ref="BK108">IF($AH108="","",
_xlfn.IFS(
$BE108="Devis 1",
IF(ISBLANK(AS108),"",IFERROR(VALUE(TRIM(SUBSTITUTE(AS108,CHAR(160),""))),0)*IFERROR(VALUE(TRIM(SUBSTITUTE($AH108,CHAR(160),""))),0)),
$BE108="Devis 2",
IF(ISBLANK(AX108),"",IFERROR(VALUE(TRIM(SUBSTITUTE(AX108,CHAR(160),""))),0)*IFERROR(VALUE(TRIM(SUBSTITUTE($AH108,CHAR(160),""))),0)),
$BE108="Devis 3",
IF(ISBLANK(BC108),"",IFERROR(VALUE(TRIM(SUBSTITUTE(BC108,CHAR(160),""))),0)*IFERROR(VALUE(TRIM(SUBSTITUTE($AH108,CHAR(160),""))),0)),
TRUE,0
)
)</f>
        <v/>
      </c>
      <c r="BL108" s="281" t="str">
        <f t="shared" si="84"/>
        <v/>
      </c>
      <c r="BM108" s="602"/>
      <c r="BN108" s="23" t="str" cm="1">
        <f t="array" ref="BN108">IF(OR(BL108="",BI108="",BJ108="",BG108="",BK108="",BH108=""),"",_xlfn.IFS(
ROUND(IFERROR(VALUE(TRIM(SUBSTITUTE(BL108,CHAR(160),""))),0),2)&gt;
ROUND(IFERROR(VALUE(TRIM(SUBSTITUTE(BI108,CHAR(160),""))),0),2),
"KO : Le montant retenu TTC est supérieur au montant raisonnable TTC. Merci de revoir la ligne de dépense ou plafonner son montant.",
ROUND(IFERROR(VALUE(TRIM(SUBSTITUTE(BJ108,CHAR(160),""))),0),2)&gt;
ROUND(IFERROR(VALUE(TRIM(SUBSTITUTE(BG108,CHAR(160),""))),0),2),
"Attention : Le montant retenu HT est supérieur au montant HT raisonnable. Merci de revoir la ligne de dépense, plafonner son montant, ou justifier la reventillation HT / TVA.",
ROUND(IFERROR(VALUE(TRIM(SUBSTITUTE(BK108,CHAR(160),""))),0),2)&gt;
ROUND(IFERROR(VALUE(TRIM(SUBSTITUTE(BH108,CHAR(160),""))),0),2),
"Attention : Le montant TVA retenu est supérieur au montant TVA raisonnable. Merci de revoir la ligne de dépense, plafonner son montant, ou justifier la reventillation HT / TVA.",
ROUND(IFERROR(VALUE(TRIM(SUBSTITUTE(BL108,CHAR(160),""))),0),2)&gt;
ROUND(IFERROR(VALUE(TRIM(SUBSTITUTE(MIN(P108,U108,Z108),CHAR(160),""))),0),2),
"Attention : Le devis retenu n'est pas le moins cher. Une justification de la part du porteur est nécessaire.",
ROUND(IFERROR(VALUE(TRIM(SUBSTITUTE(BL108,CHAR(160),""))),0),2)=0,
"Attention : montant présenté entièrement écarté",
ROUND(IFERROR(VALUE(TRIM(SUBSTITUTE(BI108,CHAR(160),""))),0),2)=
ROUND(IFERROR(VALUE(TRIM(SUBSTITUTE(BL108,CHAR(160),""))),0),2),
"OK",
ROUND(IFERROR(VALUE(TRIM(SUBSTITUTE(BI108,CHAR(160),""))),0),2)&gt;
ROUND(IFERROR(VALUE(TRIM(SUBSTITUTE(BL108,CHAR(160),""))),0),2),
" OK : Montant instruit inférieur au montant raisonnable.",
TRUE,""
))</f>
        <v/>
      </c>
      <c r="BO108" s="23" t="str" cm="1">
        <f t="array" ref="BO108">IF(OR(BL108="",AD108="",BJ108="",AB108="",BK108="",AC108=""),"",_xlfn.IFS(
ROUND(IFERROR(VALUE(TRIM(SUBSTITUTE(BL108,CHAR(160),""))),0),2)&gt;
ROUND(IFERROR(VALUE(TRIM(SUBSTITUTE(AD108,CHAR(160),""))),0),2),
"KO : Le montant retenu TTC est supérieur au montant présenté TTC. Merci de revoir la ligne de dépense ou plafonner son montant.",
ROUND(IFERROR(VALUE(TRIM(SUBSTITUTE(BJ108,CHAR(160),""))),0),2)&gt;
ROUND(IFERROR(VALUE(TRIM(SUBSTITUTE(AB108,CHAR(160),""))),0),2),
"Attention : Le montant retenu HT est supérieur au montant HT présenté. Merci de revoir la ligne de dépense, plafonner son montant, ou justifier la reventillation HT / TVA.",
ROUND(IFERROR(VALUE(TRIM(SUBSTITUTE(BK108,CHAR(160),""))),0),2)&gt;
ROUND(IFERROR(VALUE(TRIM(SUBSTITUTE(AC108,CHAR(160),""))),0),2),
"Attention : Le montant TVA retenu est supérieur au montant TVA présenté. Merci de revoir la ligne de dépense, plafonner son montant, ou justifier la reventillation HT / TVA.",
ROUND(IFERROR(VALUE(TRIM(SUBSTITUTE(AD108,CHAR(160),""))),0),2)=0,
"",
ROUND(IFERROR(VALUE(TRIM(SUBSTITUTE(BL108,CHAR(160),""))),0),2)=
ROUND(IFERROR(VALUE(TRIM(SUBSTITUTE(AD108,CHAR(160),""))),0),2),
"OK",
ROUND(IFERROR(VALUE(TRIM(SUBSTITUTE(BL108,CHAR(160),""))),0),2)=0,
"Attention : Montant présenté entièrement rejeté.",
ROUND(IFERROR(VALUE(TRIM(SUBSTITUTE(BL108,CHAR(160),""))),0),2)&lt;
ROUND(IFERROR(VALUE(TRIM(SUBSTITUTE(AD108,CHAR(160),""))),0),2),
"Attention : Montant présenté partiellement rejeté.",
TRUE,""
))</f>
        <v/>
      </c>
      <c r="BP108" s="113" t="str">
        <f t="shared" si="85"/>
        <v/>
      </c>
      <c r="BQ108" s="113" t="str">
        <f t="shared" si="86"/>
        <v/>
      </c>
      <c r="BR108" s="33" t="str">
        <f t="shared" si="87"/>
        <v/>
      </c>
    </row>
    <row r="109" spans="1:70">
      <c r="A109" s="670" t="s">
        <v>137</v>
      </c>
      <c r="B109" s="145"/>
      <c r="C109" s="145"/>
      <c r="D109" s="145"/>
      <c r="E109" s="145"/>
      <c r="F109" s="145"/>
      <c r="G109" s="145"/>
      <c r="H109" s="145"/>
      <c r="I109" s="145"/>
      <c r="J109" s="145"/>
      <c r="K109" s="145"/>
      <c r="L109" s="145"/>
      <c r="M109" s="145"/>
      <c r="N109" s="145"/>
      <c r="O109" s="145"/>
      <c r="P109" s="145"/>
      <c r="Q109" s="145"/>
      <c r="R109" s="145"/>
      <c r="S109" s="145"/>
      <c r="T109" s="145"/>
      <c r="U109" s="145"/>
      <c r="V109" s="145"/>
      <c r="W109" s="145"/>
      <c r="X109" s="145"/>
      <c r="Y109" s="145"/>
      <c r="Z109" s="145"/>
      <c r="AA109" s="147"/>
      <c r="AB109" s="117">
        <f>SUM(AB9:AB108)</f>
        <v>0</v>
      </c>
      <c r="AC109" s="117">
        <f>SUM(AC9:AC108)</f>
        <v>0</v>
      </c>
      <c r="AD109" s="117">
        <f>SUM(AD9:AD108)</f>
        <v>0</v>
      </c>
      <c r="AE109" s="900"/>
      <c r="AF109" s="901"/>
      <c r="AG109" s="901"/>
      <c r="AH109" s="901"/>
      <c r="AI109" s="901"/>
      <c r="AJ109" s="901"/>
      <c r="AK109" s="901"/>
      <c r="AL109" s="901"/>
      <c r="AM109" s="901"/>
      <c r="AN109" s="901"/>
      <c r="AO109" s="901"/>
      <c r="AP109" s="901"/>
      <c r="AQ109" s="901"/>
      <c r="AR109" s="901"/>
      <c r="AS109" s="901"/>
      <c r="AT109" s="901"/>
      <c r="AU109" s="901"/>
      <c r="AV109" s="901"/>
      <c r="AW109" s="901"/>
      <c r="AX109" s="901"/>
      <c r="AY109" s="901"/>
      <c r="AZ109" s="901"/>
      <c r="BA109" s="901"/>
      <c r="BB109" s="901"/>
      <c r="BC109" s="901"/>
      <c r="BD109" s="901"/>
      <c r="BE109" s="901"/>
      <c r="BF109" s="901"/>
      <c r="BG109" s="901"/>
      <c r="BH109" s="902"/>
      <c r="BI109" s="118" t="s">
        <v>138</v>
      </c>
      <c r="BJ109" s="117">
        <f>SUM(BJ9:BJ108)</f>
        <v>0</v>
      </c>
      <c r="BK109" s="117">
        <f t="shared" ref="BK109:BL109" si="89">SUM(BK9:BK108)</f>
        <v>0</v>
      </c>
      <c r="BL109" s="117">
        <f t="shared" si="89"/>
        <v>0</v>
      </c>
      <c r="BM109" s="119"/>
      <c r="BN109" s="120"/>
      <c r="BO109" s="118" t="s">
        <v>138</v>
      </c>
      <c r="BP109" s="117">
        <f>SUM(BP9:BP108)</f>
        <v>0</v>
      </c>
      <c r="BQ109" s="117">
        <f t="shared" ref="BQ109" si="90">SUM(BQ9:BQ108)</f>
        <v>0</v>
      </c>
      <c r="BR109" s="215">
        <f t="shared" ref="BR109" si="91">SUM(BR9:BR108)</f>
        <v>0</v>
      </c>
    </row>
  </sheetData>
  <sheetProtection formatCells="0" formatColumns="0" formatRows="0" insertRows="0"/>
  <mergeCells count="5">
    <mergeCell ref="AE109:BH109"/>
    <mergeCell ref="C2:H2"/>
    <mergeCell ref="C3:H3"/>
    <mergeCell ref="AF5:BR5"/>
    <mergeCell ref="A6:A7"/>
  </mergeCells>
  <phoneticPr fontId="11" type="noConversion"/>
  <conditionalFormatting sqref="AF9:BE108">
    <cfRule type="expression" dxfId="63" priority="310">
      <formula>AF9&lt;&gt;B9</formula>
    </cfRule>
  </conditionalFormatting>
  <conditionalFormatting sqref="BF9:BF108">
    <cfRule type="containsText" dxfId="62" priority="3" operator="containsText" text="NON">
      <formula>NOT(ISERROR(SEARCH("NON",BF9)))</formula>
    </cfRule>
  </conditionalFormatting>
  <conditionalFormatting sqref="BN8:BO108">
    <cfRule type="containsText" dxfId="61" priority="7" operator="containsText" text="OK">
      <formula>NOT(ISERROR(SEARCH("OK",BN8)))</formula>
    </cfRule>
    <cfRule type="containsText" dxfId="60" priority="8" stopIfTrue="1" operator="containsText" text="KO">
      <formula>NOT(ISERROR(SEARCH("KO",BN8)))</formula>
    </cfRule>
    <cfRule type="containsText" dxfId="59" priority="9" stopIfTrue="1" operator="containsText" text="Attention">
      <formula>NOT(ISERROR(SEARCH("Attention",BN8)))</formula>
    </cfRule>
  </conditionalFormatting>
  <dataValidations count="6">
    <dataValidation type="list" allowBlank="1" showInputMessage="1" showErrorMessage="1" sqref="AA9:AA108" xr:uid="{88E52CD2-16E8-496D-9714-3BB49ED8D89B}">
      <formula1>"Devis 1,,Devis 2,Devis 3"</formula1>
    </dataValidation>
    <dataValidation type="list" allowBlank="1" showInputMessage="1" showErrorMessage="1" sqref="AA8 BE8:BE108" xr:uid="{9D37A071-D71B-4390-AFE4-0CC171093934}">
      <formula1>"Devis 1,Devis 2,Devis 3"</formula1>
    </dataValidation>
    <dataValidation type="list" allowBlank="1" showInputMessage="1" showErrorMessage="1" sqref="BF8:BF108" xr:uid="{9B828925-6356-4183-A761-AFDBBBC858D5}">
      <formula1>"OUI,NON"</formula1>
    </dataValidation>
    <dataValidation type="list" allowBlank="1" showInputMessage="1" showErrorMessage="1" sqref="AK8 G8:G108" xr:uid="{C8877C71-927E-4DB3-8FCD-2C368EEC1895}">
      <formula1>"Pas de marché public , Marché à procédure adaptée (MAPA) , Marché innovant , Marché à procédure formalisée"</formula1>
    </dataValidation>
    <dataValidation type="list" allowBlank="1" showInputMessage="1" showErrorMessage="1" sqref="AG8 AJ8 C8:C108 F8:F108" xr:uid="{5A7D12D0-1B3D-4BEB-B269-A0213520C5B0}">
      <formula1>"Oui,Non"</formula1>
    </dataValidation>
    <dataValidation type="list" allowBlank="1" showInputMessage="1" showErrorMessage="1" sqref="AL8 H8:H108" xr:uid="{15298AB8-7C6F-44BB-8B3E-80F1D4BB8B69}">
      <formula1>"Oui,Non,Non concerné"</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xr:uid="{A0BCBBD8-D4CF-4988-985A-4D852FE59E66}">
          <x14:formula1>
            <xm:f>'0-Présentation typeaction'!$H$4:$H$12</xm:f>
          </x14:formula1>
          <xm:sqref>E8 E10:E108 E9</xm:sqref>
        </x14:dataValidation>
        <x14:dataValidation type="list" allowBlank="1" showInputMessage="1" showErrorMessage="1" xr:uid="{06BFAEA3-1718-6E44-985B-0DEDB971A8D7}">
          <x14:formula1>
            <xm:f>'0-Présentation typeaction'!$H$4:$H$12</xm:f>
          </x14:formula1>
          <xm:sqref>AI9:AI108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C1964-1095-4D42-8AFF-7043FFFBBC95}">
  <sheetPr>
    <pageSetUpPr fitToPage="1"/>
  </sheetPr>
  <dimension ref="A1:BN105"/>
  <sheetViews>
    <sheetView showGridLines="0" topLeftCell="AD3" zoomScale="50" zoomScaleNormal="70" workbookViewId="0">
      <selection activeCell="B5" sqref="B5:M7"/>
    </sheetView>
  </sheetViews>
  <sheetFormatPr defaultColWidth="11.42578125" defaultRowHeight="15" outlineLevelCol="1"/>
  <cols>
    <col min="1" max="1" width="11.42578125" customWidth="1"/>
    <col min="2" max="2" width="27.42578125" customWidth="1"/>
    <col min="3" max="3" width="27.42578125" bestFit="1" customWidth="1"/>
    <col min="4" max="4" width="40.42578125" customWidth="1"/>
    <col min="5" max="5" width="19.85546875" bestFit="1" customWidth="1"/>
    <col min="6" max="6" width="22.140625" bestFit="1" customWidth="1"/>
    <col min="7" max="7" width="21.42578125" bestFit="1" customWidth="1"/>
    <col min="8" max="8" width="21.42578125" customWidth="1"/>
    <col min="9" max="9" width="20.42578125" bestFit="1" customWidth="1"/>
    <col min="10" max="11" width="20.42578125" customWidth="1"/>
    <col min="12" max="12" width="17.42578125" bestFit="1" customWidth="1"/>
    <col min="13" max="13" width="21.140625" bestFit="1" customWidth="1"/>
    <col min="14" max="14" width="19.85546875" bestFit="1" customWidth="1"/>
    <col min="15" max="16" width="19.85546875" customWidth="1"/>
    <col min="17" max="17" width="21.42578125" bestFit="1" customWidth="1"/>
    <col min="18" max="18" width="21.140625" bestFit="1" customWidth="1"/>
    <col min="19" max="19" width="19.85546875" bestFit="1" customWidth="1"/>
    <col min="20" max="21" width="19.85546875" customWidth="1"/>
    <col min="22" max="22" width="19.42578125" bestFit="1" customWidth="1"/>
    <col min="23" max="23" width="21.140625" bestFit="1" customWidth="1"/>
    <col min="24" max="24" width="19.85546875" bestFit="1" customWidth="1"/>
    <col min="25" max="25" width="17.85546875" bestFit="1" customWidth="1"/>
    <col min="26" max="26" width="19.85546875" bestFit="1" customWidth="1"/>
    <col min="27" max="28" width="17.42578125" bestFit="1" customWidth="1"/>
    <col min="29" max="29" width="67.42578125" bestFit="1" customWidth="1"/>
    <col min="30" max="30" width="48.42578125" customWidth="1" outlineLevel="1"/>
    <col min="31" max="31" width="26.42578125" customWidth="1" outlineLevel="1"/>
    <col min="32" max="32" width="28.140625" customWidth="1" outlineLevel="1"/>
    <col min="33" max="33" width="19.42578125" customWidth="1" outlineLevel="1"/>
    <col min="34" max="34" width="22.140625" customWidth="1" outlineLevel="1"/>
    <col min="35" max="35" width="21.42578125" customWidth="1" outlineLevel="1"/>
    <col min="36" max="36" width="19.85546875" customWidth="1" outlineLevel="1"/>
    <col min="37" max="39" width="20.42578125" customWidth="1" outlineLevel="1"/>
    <col min="40" max="41" width="15.42578125" style="763" customWidth="1" outlineLevel="1"/>
    <col min="42" max="44" width="12.42578125" customWidth="1" outlineLevel="1"/>
    <col min="45" max="46" width="18.42578125" customWidth="1" outlineLevel="1"/>
    <col min="47" max="52" width="17.42578125" customWidth="1" outlineLevel="1"/>
    <col min="53" max="53" width="12.42578125" customWidth="1" outlineLevel="1"/>
    <col min="54" max="54" width="15" customWidth="1" outlineLevel="1"/>
    <col min="55" max="55" width="20" customWidth="1" outlineLevel="1"/>
    <col min="56" max="56" width="21" customWidth="1" outlineLevel="1"/>
    <col min="57" max="57" width="20" customWidth="1" outlineLevel="1"/>
    <col min="58" max="58" width="20.42578125" customWidth="1" outlineLevel="1"/>
    <col min="59" max="59" width="19.85546875" customWidth="1" outlineLevel="1"/>
    <col min="60" max="60" width="22.140625" customWidth="1" outlineLevel="1"/>
    <col min="61" max="61" width="33.42578125" customWidth="1" outlineLevel="1"/>
    <col min="62" max="62" width="49.42578125" customWidth="1" outlineLevel="1"/>
    <col min="63" max="63" width="23.42578125" customWidth="1" outlineLevel="1"/>
    <col min="64" max="64" width="16.85546875" customWidth="1" outlineLevel="1"/>
    <col min="65" max="65" width="14.85546875" customWidth="1" outlineLevel="1"/>
    <col min="66" max="66" width="13.85546875" customWidth="1" outlineLevel="1"/>
  </cols>
  <sheetData>
    <row r="1" spans="1:66" ht="105" customHeight="1" thickBot="1">
      <c r="A1" s="945" t="s">
        <v>139</v>
      </c>
      <c r="B1" s="946"/>
      <c r="C1" s="946"/>
      <c r="D1" s="946"/>
      <c r="E1" s="946"/>
      <c r="F1" s="946"/>
      <c r="G1" s="946"/>
      <c r="H1" s="946"/>
      <c r="I1" s="947"/>
      <c r="J1" s="947"/>
      <c r="K1" s="947"/>
      <c r="L1" s="947"/>
      <c r="M1" s="947"/>
      <c r="N1" s="947"/>
      <c r="O1" s="947"/>
      <c r="P1" s="947"/>
      <c r="Q1" s="947"/>
      <c r="R1" s="947"/>
      <c r="S1" s="947"/>
      <c r="T1" s="947"/>
      <c r="U1" s="947"/>
      <c r="V1" s="947"/>
      <c r="W1" s="947"/>
      <c r="X1" s="947"/>
      <c r="Y1" s="946"/>
      <c r="Z1" s="947"/>
      <c r="AA1" s="947"/>
      <c r="AB1" s="947"/>
      <c r="AC1" s="948"/>
      <c r="AD1" s="949" t="s">
        <v>140</v>
      </c>
      <c r="AE1" s="950"/>
      <c r="AF1" s="950"/>
      <c r="AG1" s="950"/>
      <c r="AH1" s="950"/>
      <c r="AI1" s="950"/>
      <c r="AJ1" s="950"/>
      <c r="AK1" s="951"/>
      <c r="AL1" s="951"/>
      <c r="AM1" s="951"/>
      <c r="AN1" s="951"/>
      <c r="AO1" s="951"/>
      <c r="AP1" s="951"/>
      <c r="AQ1" s="951"/>
      <c r="AR1" s="951"/>
      <c r="AS1" s="951"/>
      <c r="AT1" s="951"/>
      <c r="AU1" s="951"/>
      <c r="AV1" s="951"/>
      <c r="AW1" s="951"/>
      <c r="AX1" s="951"/>
      <c r="AY1" s="951"/>
      <c r="AZ1" s="951"/>
      <c r="BA1" s="951"/>
      <c r="BB1" s="951"/>
      <c r="BC1" s="951"/>
      <c r="BD1" s="950"/>
      <c r="BE1" s="950"/>
      <c r="BF1" s="951"/>
      <c r="BG1" s="951"/>
      <c r="BH1" s="951"/>
      <c r="BI1" s="950"/>
      <c r="BJ1" s="950"/>
      <c r="BK1" s="950"/>
      <c r="BL1" s="950"/>
      <c r="BM1" s="950"/>
      <c r="BN1" s="952"/>
    </row>
    <row r="2" spans="1:66" s="78" customFormat="1" ht="69.95" customHeight="1">
      <c r="A2" s="204" t="s">
        <v>52</v>
      </c>
      <c r="B2" s="41" t="s">
        <v>52</v>
      </c>
      <c r="C2" s="41" t="s">
        <v>54</v>
      </c>
      <c r="D2" s="121" t="s">
        <v>55</v>
      </c>
      <c r="E2" s="121" t="s">
        <v>59</v>
      </c>
      <c r="F2" s="121" t="s">
        <v>60</v>
      </c>
      <c r="G2" s="121" t="s">
        <v>57</v>
      </c>
      <c r="H2" s="73" t="s">
        <v>58</v>
      </c>
      <c r="I2" s="783" t="s">
        <v>61</v>
      </c>
      <c r="J2" s="787" t="s">
        <v>62</v>
      </c>
      <c r="K2" s="788" t="s">
        <v>63</v>
      </c>
      <c r="L2" s="788" t="s">
        <v>64</v>
      </c>
      <c r="M2" s="788" t="s">
        <v>65</v>
      </c>
      <c r="N2" s="806" t="s">
        <v>66</v>
      </c>
      <c r="O2" s="809" t="s">
        <v>82</v>
      </c>
      <c r="P2" s="810" t="s">
        <v>68</v>
      </c>
      <c r="Q2" s="810" t="s">
        <v>69</v>
      </c>
      <c r="R2" s="810" t="s">
        <v>70</v>
      </c>
      <c r="S2" s="822" t="s">
        <v>71</v>
      </c>
      <c r="T2" s="823" t="s">
        <v>82</v>
      </c>
      <c r="U2" s="824" t="s">
        <v>68</v>
      </c>
      <c r="V2" s="824" t="s">
        <v>73</v>
      </c>
      <c r="W2" s="824" t="s">
        <v>74</v>
      </c>
      <c r="X2" s="825" t="s">
        <v>75</v>
      </c>
      <c r="Y2" s="781" t="s">
        <v>76</v>
      </c>
      <c r="Z2" s="126" t="s">
        <v>77</v>
      </c>
      <c r="AA2" s="127" t="s">
        <v>78</v>
      </c>
      <c r="AB2" s="128" t="s">
        <v>79</v>
      </c>
      <c r="AC2" s="205" t="s">
        <v>80</v>
      </c>
      <c r="AD2" s="132" t="s">
        <v>52</v>
      </c>
      <c r="AE2" s="129" t="s">
        <v>54</v>
      </c>
      <c r="AF2" s="129" t="s">
        <v>55</v>
      </c>
      <c r="AG2" s="31" t="s">
        <v>59</v>
      </c>
      <c r="AH2" s="129" t="s">
        <v>60</v>
      </c>
      <c r="AI2" s="129" t="s">
        <v>57</v>
      </c>
      <c r="AJ2" s="77" t="s">
        <v>58</v>
      </c>
      <c r="AK2" s="793" t="s">
        <v>61</v>
      </c>
      <c r="AL2" s="798" t="s">
        <v>62</v>
      </c>
      <c r="AM2" s="799" t="s">
        <v>63</v>
      </c>
      <c r="AN2" s="800" t="s">
        <v>64</v>
      </c>
      <c r="AO2" s="800" t="s">
        <v>65</v>
      </c>
      <c r="AP2" s="813" t="s">
        <v>66</v>
      </c>
      <c r="AQ2" s="816" t="s">
        <v>67</v>
      </c>
      <c r="AR2" s="817" t="s">
        <v>68</v>
      </c>
      <c r="AS2" s="817" t="s">
        <v>69</v>
      </c>
      <c r="AT2" s="817" t="s">
        <v>70</v>
      </c>
      <c r="AU2" s="832" t="s">
        <v>71</v>
      </c>
      <c r="AV2" s="836" t="s">
        <v>67</v>
      </c>
      <c r="AW2" s="837" t="s">
        <v>68</v>
      </c>
      <c r="AX2" s="837" t="s">
        <v>73</v>
      </c>
      <c r="AY2" s="837" t="s">
        <v>74</v>
      </c>
      <c r="AZ2" s="838" t="s">
        <v>75</v>
      </c>
      <c r="BA2" s="796" t="s">
        <v>83</v>
      </c>
      <c r="BB2" s="745" t="s">
        <v>84</v>
      </c>
      <c r="BC2" s="745" t="s">
        <v>85</v>
      </c>
      <c r="BD2" s="132" t="s">
        <v>86</v>
      </c>
      <c r="BE2" s="863" t="s">
        <v>87</v>
      </c>
      <c r="BF2" s="867" t="s">
        <v>88</v>
      </c>
      <c r="BG2" s="868" t="s">
        <v>89</v>
      </c>
      <c r="BH2" s="869" t="s">
        <v>141</v>
      </c>
      <c r="BI2" s="132" t="s">
        <v>91</v>
      </c>
      <c r="BJ2" s="129" t="s">
        <v>92</v>
      </c>
      <c r="BK2" s="129" t="s">
        <v>93</v>
      </c>
      <c r="BL2" s="129" t="s">
        <v>94</v>
      </c>
      <c r="BM2" s="129" t="s">
        <v>95</v>
      </c>
      <c r="BN2" s="129" t="s">
        <v>96</v>
      </c>
    </row>
    <row r="3" spans="1:66" s="1" customFormat="1" ht="207.75" customHeight="1">
      <c r="A3" s="206"/>
      <c r="B3" s="21" t="s">
        <v>142</v>
      </c>
      <c r="C3" s="21" t="s">
        <v>143</v>
      </c>
      <c r="D3" s="21" t="s">
        <v>100</v>
      </c>
      <c r="E3" s="22" t="s">
        <v>104</v>
      </c>
      <c r="F3" s="21" t="s">
        <v>105</v>
      </c>
      <c r="G3" s="856" t="s">
        <v>102</v>
      </c>
      <c r="H3" s="79" t="s">
        <v>103</v>
      </c>
      <c r="I3" s="784" t="s">
        <v>106</v>
      </c>
      <c r="J3" s="789" t="s">
        <v>107</v>
      </c>
      <c r="K3" s="135" t="s">
        <v>108</v>
      </c>
      <c r="L3" s="135" t="s">
        <v>109</v>
      </c>
      <c r="M3" s="135" t="s">
        <v>110</v>
      </c>
      <c r="N3" s="784" t="s">
        <v>111</v>
      </c>
      <c r="O3" s="811" t="s">
        <v>112</v>
      </c>
      <c r="P3" s="135" t="s">
        <v>108</v>
      </c>
      <c r="Q3" s="135" t="s">
        <v>113</v>
      </c>
      <c r="R3" s="135" t="s">
        <v>110</v>
      </c>
      <c r="S3" s="784" t="s">
        <v>114</v>
      </c>
      <c r="T3" s="826" t="s">
        <v>112</v>
      </c>
      <c r="U3" s="135" t="s">
        <v>108</v>
      </c>
      <c r="V3" s="135" t="s">
        <v>113</v>
      </c>
      <c r="W3" s="135" t="s">
        <v>110</v>
      </c>
      <c r="X3" s="827" t="s">
        <v>114</v>
      </c>
      <c r="Y3" s="757" t="s">
        <v>115</v>
      </c>
      <c r="Z3" s="134" t="s">
        <v>116</v>
      </c>
      <c r="AA3" s="135" t="s">
        <v>116</v>
      </c>
      <c r="AB3" s="136" t="s">
        <v>116</v>
      </c>
      <c r="AC3" s="207" t="s">
        <v>144</v>
      </c>
      <c r="AD3" s="189" t="s">
        <v>118</v>
      </c>
      <c r="AE3" s="2" t="s">
        <v>118</v>
      </c>
      <c r="AF3" s="4" t="s">
        <v>118</v>
      </c>
      <c r="AG3" s="4" t="s">
        <v>118</v>
      </c>
      <c r="AH3" s="4" t="s">
        <v>118</v>
      </c>
      <c r="AI3" s="857" t="s">
        <v>119</v>
      </c>
      <c r="AJ3" s="87" t="s">
        <v>118</v>
      </c>
      <c r="AK3" s="794" t="s">
        <v>118</v>
      </c>
      <c r="AL3" s="801" t="s">
        <v>107</v>
      </c>
      <c r="AM3" s="738" t="s">
        <v>108</v>
      </c>
      <c r="AN3" s="777" t="s">
        <v>118</v>
      </c>
      <c r="AO3" s="777" t="s">
        <v>118</v>
      </c>
      <c r="AP3" s="794" t="s">
        <v>121</v>
      </c>
      <c r="AQ3" s="818" t="s">
        <v>107</v>
      </c>
      <c r="AR3" s="738" t="s">
        <v>108</v>
      </c>
      <c r="AS3" s="738" t="s">
        <v>118</v>
      </c>
      <c r="AT3" s="738" t="s">
        <v>118</v>
      </c>
      <c r="AU3" s="794" t="s">
        <v>145</v>
      </c>
      <c r="AV3" s="839" t="s">
        <v>107</v>
      </c>
      <c r="AW3" s="738" t="s">
        <v>108</v>
      </c>
      <c r="AX3" s="738" t="s">
        <v>118</v>
      </c>
      <c r="AY3" s="738" t="s">
        <v>118</v>
      </c>
      <c r="AZ3" s="840" t="s">
        <v>121</v>
      </c>
      <c r="BA3" s="797" t="s">
        <v>118</v>
      </c>
      <c r="BB3" s="738" t="s">
        <v>120</v>
      </c>
      <c r="BC3" s="738" t="s">
        <v>121</v>
      </c>
      <c r="BD3" s="86" t="s">
        <v>121</v>
      </c>
      <c r="BE3" s="87" t="s">
        <v>121</v>
      </c>
      <c r="BF3" s="870" t="s">
        <v>121</v>
      </c>
      <c r="BG3" s="4" t="s">
        <v>121</v>
      </c>
      <c r="BH3" s="871" t="s">
        <v>122</v>
      </c>
      <c r="BI3" s="86" t="s">
        <v>146</v>
      </c>
      <c r="BJ3" s="4" t="s">
        <v>124</v>
      </c>
      <c r="BK3" s="4" t="s">
        <v>125</v>
      </c>
      <c r="BL3" s="4" t="s">
        <v>116</v>
      </c>
      <c r="BM3" s="4" t="s">
        <v>116</v>
      </c>
      <c r="BN3" s="4" t="s">
        <v>116</v>
      </c>
    </row>
    <row r="4" spans="1:66" s="1" customFormat="1" ht="32.1">
      <c r="A4" s="173" t="s">
        <v>41</v>
      </c>
      <c r="B4" s="137" t="s">
        <v>147</v>
      </c>
      <c r="C4" s="143">
        <v>1</v>
      </c>
      <c r="D4" s="138" t="s">
        <v>27</v>
      </c>
      <c r="E4" s="137">
        <v>1</v>
      </c>
      <c r="F4" s="139" t="s">
        <v>148</v>
      </c>
      <c r="G4" s="139" t="s">
        <v>149</v>
      </c>
      <c r="H4" s="92" t="s">
        <v>129</v>
      </c>
      <c r="I4" s="785">
        <v>2</v>
      </c>
      <c r="J4" s="790" t="s">
        <v>150</v>
      </c>
      <c r="K4" s="778" t="s">
        <v>151</v>
      </c>
      <c r="L4" s="782">
        <v>6504</v>
      </c>
      <c r="M4" s="759">
        <f>L4*0.085</f>
        <v>552.84</v>
      </c>
      <c r="N4" s="807">
        <f>L4+M4</f>
        <v>7056.84</v>
      </c>
      <c r="O4" s="812" t="s">
        <v>152</v>
      </c>
      <c r="P4" s="759" t="s">
        <v>153</v>
      </c>
      <c r="Q4" s="759">
        <v>9783</v>
      </c>
      <c r="R4" s="759">
        <f>Q4*0.085</f>
        <v>831.55500000000006</v>
      </c>
      <c r="S4" s="807">
        <f>Q4+R4</f>
        <v>10614.555</v>
      </c>
      <c r="T4" s="828"/>
      <c r="U4" s="759"/>
      <c r="V4" s="759"/>
      <c r="W4" s="759"/>
      <c r="X4" s="829" t="str">
        <f>IF(OR(V4="", W4=""), "", IFERROR(VALUE(TRIM(SUBSTITUTE(V4,CHAR(160),""))),0) + IFERROR(VALUE(TRIM(SUBSTITUTE(W4,CHAR(160),""))),0))</f>
        <v/>
      </c>
      <c r="Y4" s="140" t="s">
        <v>135</v>
      </c>
      <c r="Z4" s="282" cm="1">
        <f t="array" ref="Z4">IF((_xlfn.IFS(TRIM(SUBSTITUTE(Y4,CHAR(160),""))="Devis 1",IFERROR(VALUE(TRIM(SUBSTITUTE(L4,CHAR(160),""))),0),TRIM(SUBSTITUTE(Y4,CHAR(160),""))="Devis 2",IFERROR(VALUE(TRIM(SUBSTITUTE(Q4,CHAR(160),""))),0),TRIM(SUBSTITUTE(Y4,CHAR(160),""))="Devis 3",IFERROR(VALUE(TRIM(SUBSTITUTE(V4,CHAR(160),""))),0),TRUE,0)*IFERROR(VALUE(TRIM(SUBSTITUTE(C4,CHAR(160),""))),0))=0,"",_xlfn.IFS(TRIM(SUBSTITUTE(Y4,CHAR(160),""))="Devis 1",IFERROR(VALUE(TRIM(SUBSTITUTE(L4,CHAR(160),""))),0),TRIM(SUBSTITUTE(Y4,CHAR(160),""))="Devis 2",IFERROR(VALUE(TRIM(SUBSTITUTE(Q4,CHAR(160),""))),0),TRIM(SUBSTITUTE(Y4,CHAR(160),""))="Devis 3",IFERROR(VALUE(TRIM(SUBSTITUTE(V4,CHAR(160),""))),0),TRUE,0)*IFERROR(VALUE(TRIM(SUBSTITUTE(C4,CHAR(160),""))),0))</f>
        <v>6504</v>
      </c>
      <c r="AA4" s="282" cm="1">
        <f t="array" ref="AA4">IF((_xlfn.IFS(TRIM(SUBSTITUTE(Y4,CHAR(160),""))="Devis 1",IFERROR(VALUE(TRIM(SUBSTITUTE(M4,CHAR(160),""))),0),TRIM(SUBSTITUTE(Y4,CHAR(160),""))="Devis 2",IFERROR(VALUE(TRIM(SUBSTITUTE(R4,CHAR(160),""))),0),TRIM(SUBSTITUTE(Y4,CHAR(160),""))="Devis 3",IFERROR(VALUE(TRIM(SUBSTITUTE(W4,CHAR(160),""))),0),TRUE,0)*IFERROR(VALUE(TRIM(SUBSTITUTE(C4,CHAR(160),""))),0))=0,IF(Z4&lt;&gt;"",0,""),_xlfn.IFS(TRIM(SUBSTITUTE(Y4,CHAR(160),""))="Devis 1",IFERROR(VALUE(TRIM(SUBSTITUTE(M4,CHAR(160),""))),0),TRIM(SUBSTITUTE(Y4,CHAR(160),""))="Devis 2",IFERROR(VALUE(TRIM(SUBSTITUTE(R4,CHAR(160),""))),0),TRIM(SUBSTITUTE(Y4,CHAR(160),""))="Devis 3",IFERROR(VALUE(TRIM(SUBSTITUTE(W4,CHAR(160),""))),0),TRUE,0)*IFERROR(VALUE(TRIM(SUBSTITUTE(C4,CHAR(160),""))),0))</f>
        <v>552.84</v>
      </c>
      <c r="AB4" s="283">
        <f>IF(OR(Z4="", AA4=""), "", IFERROR(VALUE(TRIM(SUBSTITUTE(Z4,CHAR(160),""))),0) + IFERROR(VALUE(TRIM(SUBSTITUTE(AA4,CHAR(160),""))),0))</f>
        <v>7056.84</v>
      </c>
      <c r="AC4" s="208"/>
      <c r="AD4" s="765" t="str">
        <f t="shared" ref="AD4:AD35" si="0">IF(B4="","",B4)</f>
        <v>Etude de faisabilité</v>
      </c>
      <c r="AE4" s="766">
        <f t="shared" ref="AE4:AE35" si="1">IF(C4="","",C4)</f>
        <v>1</v>
      </c>
      <c r="AF4" s="767" t="str">
        <f t="shared" ref="AF4:AF35" si="2">IF(D4="","",D4)</f>
        <v>Modernisation installations / mécanisation</v>
      </c>
      <c r="AG4" s="767">
        <f t="shared" ref="AG4:AG35" si="3">IF(E4="","",E4)</f>
        <v>1</v>
      </c>
      <c r="AH4" s="767" t="str">
        <f t="shared" ref="AH4:AH35" si="4">IF(F4="","",F4)</f>
        <v>euro</v>
      </c>
      <c r="AI4" s="767" t="str">
        <f t="shared" ref="AI4" si="5">IF(G4="","",G4)</f>
        <v>Pas de marché public</v>
      </c>
      <c r="AJ4" s="775" t="str">
        <f>IF(G4="","",G4)</f>
        <v>Pas de marché public</v>
      </c>
      <c r="AK4" s="795">
        <f>IF(I4="","",I4)</f>
        <v>2</v>
      </c>
      <c r="AL4" s="790" t="s">
        <v>150</v>
      </c>
      <c r="AM4" s="778" t="s">
        <v>151</v>
      </c>
      <c r="AN4" s="779">
        <f>IF(L4="","",L4)</f>
        <v>6504</v>
      </c>
      <c r="AO4" s="779">
        <f>IF(M4="","",M4)</f>
        <v>552.84</v>
      </c>
      <c r="AP4" s="814">
        <f>IF(OR(AN4="", AO4=""), "", IFERROR(VALUE(TRIM(SUBSTITUTE(AN4,CHAR(160),""))),0) + IFERROR(VALUE(TRIM(SUBSTITUTE(AO4,CHAR(160),""))),0))</f>
        <v>7056.84</v>
      </c>
      <c r="AQ4" s="812" t="s">
        <v>152</v>
      </c>
      <c r="AR4" s="759" t="s">
        <v>153</v>
      </c>
      <c r="AS4" s="746">
        <f>IF(Q4="","",Q4)</f>
        <v>9783</v>
      </c>
      <c r="AT4" s="746">
        <f>IF(R4="","",R4)</f>
        <v>831.55500000000006</v>
      </c>
      <c r="AU4" s="814">
        <f>IF(OR(AS4="",AT4=""),"",IFERROR(VALUE(TRIM(SUBSTITUTE(AS4,CHAR(160),""))),0)+IFERROR(VALUE(TRIM(SUBSTITUTE(AT4,CHAR(160),""))),0))</f>
        <v>10614.555</v>
      </c>
      <c r="AV4" s="828"/>
      <c r="AW4" s="759"/>
      <c r="AX4" s="746" t="str">
        <f>IF(V4="","",V4)</f>
        <v/>
      </c>
      <c r="AY4" s="746" t="str">
        <f>IF(W4="","",W4)</f>
        <v/>
      </c>
      <c r="AZ4" s="841" t="str">
        <f>IF(OR(AX4="",AY4=""),"",IFERROR(VALUE(TRIM(SUBSTITUTE(AX4,CHAR(160),""))),0)+IFERROR(VALUE(TRIM(SUBSTITUTE(AY4,CHAR(160),""))),0))</f>
        <v/>
      </c>
      <c r="BA4" s="834" t="str">
        <f>IF(Y4="","",Y4)</f>
        <v>Devis 1</v>
      </c>
      <c r="BB4" s="780" t="s">
        <v>154</v>
      </c>
      <c r="BC4" s="864">
        <f>IF(AF4="","",
IF(
AND(
IFERROR(VALUE(TRIM(SUBSTITUTE(AN4,CHAR(160),""))),0)=0,
IFERROR(VALUE(TRIM(SUBSTITUTE(AS4,CHAR(160),""))),0)=0,
IFERROR(VALUE(TRIM(SUBSTITUTE(AX4,CHAR(160),""))),0)=0
),
0,
IF(
1.15*
MIN(
IF(IFERROR(VALUE(TRIM(SUBSTITUTE(AN4,CHAR(160),""))),0)=0,1E+30,IFERROR(VALUE(TRIM(SUBSTITUTE(AN4,CHAR(160),""))),0)),
IF(IFERROR(VALUE(TRIM(SUBSTITUTE(AS4,CHAR(160),""))),0)=0,1E+30,IFERROR(VALUE(TRIM(SUBSTITUTE(AS4,CHAR(160),""))),0)),
IF(IFERROR(VALUE(TRIM(SUBSTITUTE(AX4,CHAR(160),""))),0)=0,1E+30,IFERROR(VALUE(TRIM(SUBSTITUTE(AX4,CHAR(160),""))),0))
)
*IFERROR(VALUE(TRIM(SUBSTITUTE(AE4,CHAR(160),""))),0)
=0,
0,
1.15*
MIN(
IF(IFERROR(VALUE(TRIM(SUBSTITUTE(AN4,CHAR(160),""))),0)=0,1E+30,IFERROR(VALUE(TRIM(SUBSTITUTE(AN4,CHAR(160),""))),0)),
IF(IFERROR(VALUE(TRIM(SUBSTITUTE(AS4,CHAR(160),""))),0)=0,1E+30,IFERROR(VALUE(TRIM(SUBSTITUTE(AS4,CHAR(160),""))),0)),
IF(IFERROR(VALUE(TRIM(SUBSTITUTE(AX4,CHAR(160),""))),0)=0,1E+30,IFERROR(VALUE(TRIM(SUBSTITUTE(AX4,CHAR(160),""))),0))
)
*IFERROR(VALUE(TRIM(SUBSTITUTE(AE4,CHAR(160),""))),0)
)
)
)</f>
        <v>7479.5999999999995</v>
      </c>
      <c r="BD4" s="864">
        <f>IF(AF4="","",
IF(
AND(
IFERROR(VALUE(TRIM(SUBSTITUTE(AO4,CHAR(160),""))),0)=0,
IFERROR(VALUE(TRIM(SUBSTITUTE(AT4,CHAR(160),""))),0)=0,
IFERROR(VALUE(TRIM(SUBSTITUTE(AY4,CHAR(160),""))),0)=0
),
0,
IF(
1.15*
MIN(
IF(IFERROR(VALUE(TRIM(SUBSTITUTE(AO4,CHAR(160),""))),0)=0,1E+30,IFERROR(VALUE(TRIM(SUBSTITUTE(AO4,CHAR(160),""))),0)),
IF(IFERROR(VALUE(TRIM(SUBSTITUTE(AT4,CHAR(160),""))),0)=0,1E+30,IFERROR(VALUE(TRIM(SUBSTITUTE(AT4,CHAR(160),""))),0)),
IF(IFERROR(VALUE(TRIM(SUBSTITUTE(AY4,CHAR(160),""))),0)=0,1E+30,IFERROR(VALUE(TRIM(SUBSTITUTE(AY4,CHAR(160),""))),0))
)
*IFERROR(VALUE(TRIM(SUBSTITUTE(AE4,CHAR(160),""))),0)
=0,
0,
1.15*
MIN(
IF(IFERROR(VALUE(TRIM(SUBSTITUTE(AO4,CHAR(160),""))),0)=0,1E+30,IFERROR(VALUE(TRIM(SUBSTITUTE(AO4,CHAR(160),""))),0)),
IF(IFERROR(VALUE(TRIM(SUBSTITUTE(AT4,CHAR(160),""))),0)=0,1E+30,IFERROR(VALUE(TRIM(SUBSTITUTE(AT4,CHAR(160),""))),0)),
IF(IFERROR(VALUE(TRIM(SUBSTITUTE(AY4,CHAR(160),""))),0)=0,1E+30,IFERROR(VALUE(TRIM(SUBSTITUTE(AY4,CHAR(160),""))),0))
)
*IFERROR(VALUE(TRIM(SUBSTITUTE(AE4,CHAR(160),""))),0)
)
)
)</f>
        <v>635.76599999999996</v>
      </c>
      <c r="BE4" s="864">
        <f>IF(BC4="","",BC4+BD4)</f>
        <v>8115.3659999999991</v>
      </c>
      <c r="BF4" s="769" cm="1">
        <f t="array" ref="BF4">IF($AE4="","",
_xlfn.IFS(
$BA4="Devis 1",
IF(ISBLANK(AN4),"",IFERROR(VALUE(TRIM(SUBSTITUTE(AN4,CHAR(160),""))),0)*IFERROR(VALUE(TRIM(SUBSTITUTE($AE4,CHAR(160),""))),0)),
$BA4="Devis 2",
IF(ISBLANK(AS4),"",IFERROR(VALUE(TRIM(SUBSTITUTE(AS4,CHAR(160),""))),0)*IFERROR(VALUE(TRIM(SUBSTITUTE($AE4,CHAR(160),""))),0)),
$BA4="Devis 3",
IF(ISBLANK(AX4),"",IFERROR(VALUE(TRIM(SUBSTITUTE(AX4,CHAR(160),""))),0)*IFERROR(VALUE(TRIM(SUBSTITUTE($AE4,CHAR(160),""))),0)),
TRUE,0
)
)</f>
        <v>6504</v>
      </c>
      <c r="BG4" s="769" cm="1">
        <f t="array" ref="BG4">IF($AE4="","",
_xlfn.IFS(
$BA4="Devis 1",
IF(ISBLANK(AO4),"",IFERROR(VALUE(TRIM(SUBSTITUTE(AO4,CHAR(160),""))),0)*IFERROR(VALUE(TRIM(SUBSTITUTE($AE4,CHAR(160),""))),0)),
$BA4="Devis 2",
IF(ISBLANK(AT4),"",IFERROR(VALUE(TRIM(SUBSTITUTE(AT4,CHAR(160),""))),0)*IFERROR(VALUE(TRIM(SUBSTITUTE($AE4,CHAR(160),""))),0)),
$BA4="Devis 3",
IF(ISBLANK(AY4),"",IFERROR(VALUE(TRIM(SUBSTITUTE(AY4,CHAR(160),""))),0)*IFERROR(VALUE(TRIM(SUBSTITUTE($AE4,CHAR(160),""))),0)),
TRUE,0
)
)</f>
        <v>552.84</v>
      </c>
      <c r="BH4" s="872" cm="1">
        <f t="array" ref="BH4">IF($AE4="","",IF((IFERROR(_xlfn.IFS($BA4="Devis 1",(IFERROR(VALUE(TRIM(SUBSTITUTE(AP4,CHAR(160),""))),0)),$BA4="Devis 2",(IFERROR(VALUE(TRIM(SUBSTITUTE(AU4,CHAR(160),""))),0)),$BA4="Devis 3",(IFERROR(VALUE(TRIM(SUBSTITUTE(AZ4,CHAR(160),""))),0))),0))*(IFERROR(VALUE(TRIM(SUBSTITUTE($AE4,CHAR(160),""))),0))=0,"",(IFERROR(_xlfn.IFS($BA4="Devis 1",(IFERROR(VALUE(TRIM(SUBSTITUTE(AP4,CHAR(160),""))),0)),$BA4="Devis 2",(IFERROR(VALUE(TRIM(SUBSTITUTE(AU4,CHAR(160),""))),0)),$BA4="Devis 3",(IFERROR(VALUE(TRIM(SUBSTITUTE(AZ4,CHAR(160),""))),0))),0))*(IFERROR(VALUE(TRIM(SUBSTITUTE($AE4,CHAR(160),""))),0))))</f>
        <v>7056.84</v>
      </c>
      <c r="BI4" s="865"/>
      <c r="BJ4" s="774" t="str" cm="1">
        <f t="array" ref="BJ4">IF(OR(BH4="",BE4="",BF4="",BC4="",BG4="",BD4=""),"",_xlfn.IFS(
ROUND(IFERROR(VALUE(TRIM(SUBSTITUTE(BH4,CHAR(160),""))),0),2)&gt;
ROUND(IFERROR(VALUE(TRIM(SUBSTITUTE(BE4,CHAR(160),""))),0),2),
"KO : Le montant retenu TTC est supérieur au montant raisonnable TTC. Merci de revoir la ligne de dépense ou plafonner son montant.",
ROUND(IFERROR(VALUE(TRIM(SUBSTITUTE(BF4,CHAR(160),""))),0),2)&gt;
ROUND(IFERROR(VALUE(TRIM(SUBSTITUTE(BC4,CHAR(160),""))),0),2),
"Attention : Le montant retenu HT est supérieur au montant HT raisonnable. Merci de revoir la ligne de dépense, plafonner son montant, ou justifier la reventillation HT / TVA.",
ROUND(IFERROR(VALUE(TRIM(SUBSTITUTE(BG4,CHAR(160),""))),0),2)&gt;
ROUND(IFERROR(VALUE(TRIM(SUBSTITUTE(BD4,CHAR(160),""))),0),2),
"Attention : Le montant TVA retenu est supérieur au montant TVA raisonnable. Merci de revoir la ligne de dépense, plafonner son montant, ou justifier la reventillation HT / TVA.",
ROUND(IFERROR(VALUE(TRIM(SUBSTITUTE(BH4,CHAR(160),""))),0),2)&gt;
ROUND(IFERROR(VALUE(TRIM(SUBSTITUTE(MIN(N4,S4,X4),CHAR(160),""))),0),2),
"Attention : Le devis retenu n'est pas le moins cher. Une justification de la part du porteur est nécessaire.",
ROUND(IFERROR(VALUE(TRIM(SUBSTITUTE(BH4,CHAR(160),""))),0),2)=0,
"Attention : montant présenté entièrement écarté",
ROUND(IFERROR(VALUE(TRIM(SUBSTITUTE(BE4,CHAR(160),""))),0),2)=
ROUND(IFERROR(VALUE(TRIM(SUBSTITUTE(BH4,CHAR(160),""))),0),2),
"OK",
ROUND(IFERROR(VALUE(TRIM(SUBSTITUTE(BE4,CHAR(160),""))),0),2)&gt;
ROUND(IFERROR(VALUE(TRIM(SUBSTITUTE(BH4,CHAR(160),""))),0),2),
" OK : Montant instruit inférieur au montant raisonnable.",
TRUE,""
))</f>
        <v xml:space="preserve"> OK : Montant instruit inférieur au montant raisonnable.</v>
      </c>
      <c r="BK4" s="770" t="str" cm="1">
        <f t="array" ref="BK4">IF(OR(BH4="",AB4="",BF4="",Z4="",BG4="",AA4=""),"",_xlfn.IFS(
ROUND(IFERROR(VALUE(TRIM(SUBSTITUTE(BH4,CHAR(160),""))),0),2)&gt;
ROUND(IFERROR(VALUE(TRIM(SUBSTITUTE(AB4,CHAR(160),""))),0),2),
"KO : Le montant retenu TTC est supérieur au montant présenté TTC. Merci de revoir la ligne de dépense ou plafonner son montant.",
ROUND(IFERROR(VALUE(TRIM(SUBSTITUTE(BF4,CHAR(160),""))),0),2)&gt;
ROUND(IFERROR(VALUE(TRIM(SUBSTITUTE(Z4,CHAR(160),""))),0),2),
"Attention : Le montant retenu HT est supérieur au montant HT présenté. Merci de revoir la ligne de dépense, plafonner son montant, ou justifier la reventillation HT / TVA.",
ROUND(IFERROR(VALUE(TRIM(SUBSTITUTE(BG4,CHAR(160),""))),0),2)&gt;
ROUND(IFERROR(VALUE(TRIM(SUBSTITUTE(AA4,CHAR(160),""))),0),2),
"Attention : Le montant TVA retenu est supérieur au montant TVA présenté. Merci de revoir la ligne de dépense, plafonner son montant, ou justifier la reventillation HT / TVA.",
ROUND(IFERROR(VALUE(TRIM(SUBSTITUTE(AB4,CHAR(160),""))),0),2)=0,
"",
ROUND(IFERROR(VALUE(TRIM(SUBSTITUTE(BH4,CHAR(160),""))),0),2)=
ROUND(IFERROR(VALUE(TRIM(SUBSTITUTE(AB4,CHAR(160),""))),0),2),
"OK",
ROUND(IFERROR(VALUE(TRIM(SUBSTITUTE(BH4,CHAR(160),""))),0),2)=0,
"Attention : Montant présenté entièrement rejeté.",
ROUND(IFERROR(VALUE(TRIM(SUBSTITUTE(BH4,CHAR(160),""))),0),2)&lt;
ROUND(IFERROR(VALUE(TRIM(SUBSTITUTE(AB4,CHAR(160),""))),0),2),
"Attention : Montant présenté partiellement rejeté.",
TRUE,""
))</f>
        <v>OK</v>
      </c>
      <c r="BL4" s="768">
        <f t="shared" ref="BL4:BN5" si="6">IF(OR(Z4="",BF4=""),"",(IFERROR(VALUE(TRIM(SUBSTITUTE(Z4,CHAR(160),""))),0))-(IFERROR(VALUE(TRIM(SUBSTITUTE(BF4,CHAR(160),""))),0)))</f>
        <v>0</v>
      </c>
      <c r="BM4" s="768">
        <f t="shared" si="6"/>
        <v>0</v>
      </c>
      <c r="BN4" s="768">
        <f t="shared" si="6"/>
        <v>0</v>
      </c>
    </row>
    <row r="5" spans="1:66" s="1" customFormat="1" ht="15.95">
      <c r="A5" s="175">
        <v>1</v>
      </c>
      <c r="B5" s="7"/>
      <c r="C5" s="9"/>
      <c r="D5" s="30"/>
      <c r="E5" s="36"/>
      <c r="F5" s="34"/>
      <c r="G5" s="35"/>
      <c r="H5" s="685"/>
      <c r="I5" s="786"/>
      <c r="J5" s="791"/>
      <c r="K5" s="713"/>
      <c r="L5" s="761"/>
      <c r="M5" s="762"/>
      <c r="N5" s="808" t="str">
        <f t="shared" ref="N5" si="7">IF(OR(L5="", M5=""), "", IFERROR(VALUE(TRIM(SUBSTITUTE(L5,CHAR(160),""))),0) + IFERROR(VALUE(TRIM(SUBSTITUTE(M5,CHAR(160),""))),0))</f>
        <v/>
      </c>
      <c r="O5" s="846"/>
      <c r="P5" s="847"/>
      <c r="Q5" s="762"/>
      <c r="R5" s="762"/>
      <c r="S5" s="808" t="str">
        <f t="shared" ref="S5" si="8">IF(OR(Q5="", R5=""), "", IFERROR(VALUE(TRIM(SUBSTITUTE(Q5,CHAR(160),""))),0) + IFERROR(VALUE(TRIM(SUBSTITUTE(R5,CHAR(160),""))),0))</f>
        <v/>
      </c>
      <c r="T5" s="850"/>
      <c r="U5" s="847"/>
      <c r="V5" s="762"/>
      <c r="W5" s="762"/>
      <c r="X5" s="830" t="str">
        <f t="shared" ref="X5" si="9">IF(OR(V5="", W5=""), "", IFERROR(VALUE(TRIM(SUBSTITUTE(V5,CHAR(160),""))),0) + IFERROR(VALUE(TRIM(SUBSTITUTE(W5,CHAR(160),""))),0))</f>
        <v/>
      </c>
      <c r="Y5" s="246"/>
      <c r="Z5" s="284" t="str" cm="1">
        <f t="array" ref="Z5">IF((_xlfn.IFS(TRIM(SUBSTITUTE(Y5,CHAR(160),""))="Devis 1",IFERROR(VALUE(TRIM(SUBSTITUTE(L5,CHAR(160),""))),0),TRIM(SUBSTITUTE(Y5,CHAR(160),""))="Devis 2",IFERROR(VALUE(TRIM(SUBSTITUTE(Q5,CHAR(160),""))),0),TRIM(SUBSTITUTE(Y5,CHAR(160),""))="Devis 3",IFERROR(VALUE(TRIM(SUBSTITUTE(V5,CHAR(160),""))),0),TRUE,0)*IFERROR(VALUE(TRIM(SUBSTITUTE(C5,CHAR(160),""))),0))=0,"",_xlfn.IFS(TRIM(SUBSTITUTE(Y5,CHAR(160),""))="Devis 1",IFERROR(VALUE(TRIM(SUBSTITUTE(L5,CHAR(160),""))),0),TRIM(SUBSTITUTE(Y5,CHAR(160),""))="Devis 2",IFERROR(VALUE(TRIM(SUBSTITUTE(Q5,CHAR(160),""))),0),TRIM(SUBSTITUTE(Y5,CHAR(160),""))="Devis 3",IFERROR(VALUE(TRIM(SUBSTITUTE(V5,CHAR(160),""))),0),TRUE,0)*IFERROR(VALUE(TRIM(SUBSTITUTE(C5,CHAR(160),""))),0))</f>
        <v/>
      </c>
      <c r="AA5" s="275" t="str" cm="1">
        <f t="array" ref="AA5">IF((_xlfn.IFS(TRIM(SUBSTITUTE(Y5,CHAR(160),""))="Devis 1",IFERROR(VALUE(TRIM(SUBSTITUTE(M5,CHAR(160),""))),0),TRIM(SUBSTITUTE(Y5,CHAR(160),""))="Devis 2",IFERROR(VALUE(TRIM(SUBSTITUTE(R5,CHAR(160),""))),0),TRIM(SUBSTITUTE(Y5,CHAR(160),""))="Devis 3",IFERROR(VALUE(TRIM(SUBSTITUTE(W5,CHAR(160),""))),0),TRUE,0)*IFERROR(VALUE(TRIM(SUBSTITUTE(C5,CHAR(160),""))),0))=0,IF(Z5&lt;&gt;"",0,""),_xlfn.IFS(TRIM(SUBSTITUTE(Y5,CHAR(160),""))="Devis 1",IFERROR(VALUE(TRIM(SUBSTITUTE(M5,CHAR(160),""))),0),TRIM(SUBSTITUTE(Y5,CHAR(160),""))="Devis 2",IFERROR(VALUE(TRIM(SUBSTITUTE(R5,CHAR(160),""))),0),TRIM(SUBSTITUTE(Y5,CHAR(160),""))="Devis 3",IFERROR(VALUE(TRIM(SUBSTITUTE(W5,CHAR(160),""))),0),TRUE,0)*IFERROR(VALUE(TRIM(SUBSTITUTE(C5,CHAR(160),""))),0))</f>
        <v/>
      </c>
      <c r="AB5" s="285" t="str">
        <f t="shared" ref="AB5" si="10">IF(OR(Z5="", AA5=""), "", IFERROR(VALUE(TRIM(SUBSTITUTE(Z5,CHAR(160),""))),0) + IFERROR(VALUE(TRIM(SUBSTITUTE(AA5,CHAR(160),""))),0))</f>
        <v/>
      </c>
      <c r="AC5" s="764"/>
      <c r="AD5" s="747" t="str">
        <f t="shared" si="0"/>
        <v/>
      </c>
      <c r="AE5" s="747" t="str">
        <f t="shared" si="1"/>
        <v/>
      </c>
      <c r="AF5" s="747" t="str">
        <f t="shared" si="2"/>
        <v/>
      </c>
      <c r="AG5" s="747" t="str">
        <f t="shared" si="3"/>
        <v/>
      </c>
      <c r="AH5" s="747" t="str">
        <f t="shared" si="4"/>
        <v/>
      </c>
      <c r="AI5" s="747" t="str">
        <f t="shared" ref="AI5:AQ5" si="11">IF(G5="","",G5)</f>
        <v/>
      </c>
      <c r="AJ5" s="776" t="str">
        <f t="shared" si="11"/>
        <v/>
      </c>
      <c r="AK5" s="776" t="str">
        <f t="shared" si="11"/>
        <v/>
      </c>
      <c r="AL5" s="802" t="str">
        <f t="shared" si="11"/>
        <v/>
      </c>
      <c r="AM5" s="747" t="str">
        <f t="shared" si="11"/>
        <v/>
      </c>
      <c r="AN5" s="771" t="str">
        <f t="shared" si="11"/>
        <v/>
      </c>
      <c r="AO5" s="771" t="str">
        <f t="shared" si="11"/>
        <v/>
      </c>
      <c r="AP5" s="808" t="str">
        <f t="shared" ref="AP5" si="12">IF(OR(AN5="", AO5=""), "", IFERROR(VALUE(TRIM(SUBSTITUTE(AN5,CHAR(160),""))),0) + IFERROR(VALUE(TRIM(SUBSTITUTE(AO5,CHAR(160),""))),0))</f>
        <v/>
      </c>
      <c r="AQ5" s="819" t="str">
        <f t="shared" si="11"/>
        <v/>
      </c>
      <c r="AR5" s="771" t="str">
        <f t="shared" ref="AR5" si="13">IF(P5="","",P5)</f>
        <v/>
      </c>
      <c r="AS5" s="771" t="str">
        <f t="shared" ref="AS5" si="14">IF(Q5="","",Q5)</f>
        <v/>
      </c>
      <c r="AT5" s="771" t="str">
        <f t="shared" ref="AT5:AV5" si="15">IF(R5="","",R5)</f>
        <v/>
      </c>
      <c r="AU5" s="808" t="str">
        <f t="shared" ref="AU5" si="16">IF(OR(AS5="",AT5=""),"",IFERROR(VALUE(TRIM(SUBSTITUTE(AS5,CHAR(160),""))),0)+IFERROR(VALUE(TRIM(SUBSTITUTE(AT5,CHAR(160),""))),0))</f>
        <v/>
      </c>
      <c r="AV5" s="842" t="str">
        <f t="shared" si="15"/>
        <v/>
      </c>
      <c r="AW5" s="771" t="str">
        <f t="shared" ref="AW5" si="17">IF(U5="","",U5)</f>
        <v/>
      </c>
      <c r="AX5" s="771" t="str">
        <f t="shared" ref="AX5" si="18">IF(V5="","",V5)</f>
        <v/>
      </c>
      <c r="AY5" s="771" t="str">
        <f t="shared" ref="AY5" si="19">IF(W5="","",W5)</f>
        <v/>
      </c>
      <c r="AZ5" s="831" t="str">
        <f t="shared" ref="AZ5" si="20">IF(OR(AX5="",AY5=""),"",IFERROR(VALUE(TRIM(SUBSTITUTE(AX5,CHAR(160),""))),0)+IFERROR(VALUE(TRIM(SUBSTITUTE(AY5,CHAR(160),""))),0))</f>
        <v/>
      </c>
      <c r="BA5" s="835" t="str">
        <f>IF(Y5="","",Y5)</f>
        <v/>
      </c>
      <c r="BB5" s="772"/>
      <c r="BC5" s="275" t="str">
        <f>IF(AF5="","",
IF(
AND(
IFERROR(VALUE(TRIM(SUBSTITUTE(AN5,CHAR(160),""))),0)=0,
IFERROR(VALUE(TRIM(SUBSTITUTE(AS5,CHAR(160),""))),0)=0,
IFERROR(VALUE(TRIM(SUBSTITUTE(AX5,CHAR(160),""))),0)=0
),
0,
IF(
1.15*
MIN(
IF(IFERROR(VALUE(TRIM(SUBSTITUTE(AN5,CHAR(160),""))),0)=0,1E+30,IFERROR(VALUE(TRIM(SUBSTITUTE(AN5,CHAR(160),""))),0)),
IF(IFERROR(VALUE(TRIM(SUBSTITUTE(AS5,CHAR(160),""))),0)=0,1E+30,IFERROR(VALUE(TRIM(SUBSTITUTE(AS5,CHAR(160),""))),0)),
IF(IFERROR(VALUE(TRIM(SUBSTITUTE(AX5,CHAR(160),""))),0)=0,1E+30,IFERROR(VALUE(TRIM(SUBSTITUTE(AX5,CHAR(160),""))),0))
)
*IFERROR(VALUE(TRIM(SUBSTITUTE(AE5,CHAR(160),""))),0)
=0,
0,
1.15*
MIN(
IF(IFERROR(VALUE(TRIM(SUBSTITUTE(AN5,CHAR(160),""))),0)=0,1E+30,IFERROR(VALUE(TRIM(SUBSTITUTE(AN5,CHAR(160),""))),0)),
IF(IFERROR(VALUE(TRIM(SUBSTITUTE(AS5,CHAR(160),""))),0)=0,1E+30,IFERROR(VALUE(TRIM(SUBSTITUTE(AS5,CHAR(160),""))),0)),
IF(IFERROR(VALUE(TRIM(SUBSTITUTE(AX5,CHAR(160),""))),0)=0,1E+30,IFERROR(VALUE(TRIM(SUBSTITUTE(AX5,CHAR(160),""))),0))
)
*IFERROR(VALUE(TRIM(SUBSTITUTE(AE5,CHAR(160),""))),0)
)
)
)</f>
        <v/>
      </c>
      <c r="BD5" s="275" t="str">
        <f>IF(AF5="","",
IF(
AND(
IFERROR(VALUE(TRIM(SUBSTITUTE(AO5,CHAR(160),""))),0)=0,
IFERROR(VALUE(TRIM(SUBSTITUTE(AT5,CHAR(160),""))),0)=0,
IFERROR(VALUE(TRIM(SUBSTITUTE(AY5,CHAR(160),""))),0)=0
),
0,
IF(
1.15*
MIN(
IF(IFERROR(VALUE(TRIM(SUBSTITUTE(AO5,CHAR(160),""))),0)=0,1E+30,IFERROR(VALUE(TRIM(SUBSTITUTE(AO5,CHAR(160),""))),0)),
IF(IFERROR(VALUE(TRIM(SUBSTITUTE(AT5,CHAR(160),""))),0)=0,1E+30,IFERROR(VALUE(TRIM(SUBSTITUTE(AT5,CHAR(160),""))),0)),
IF(IFERROR(VALUE(TRIM(SUBSTITUTE(AY5,CHAR(160),""))),0)=0,1E+30,IFERROR(VALUE(TRIM(SUBSTITUTE(AY5,CHAR(160),""))),0))
)
*IFERROR(VALUE(TRIM(SUBSTITUTE(AE5,CHAR(160),""))),0)
=0,
0,
1.15*
MIN(
IF(IFERROR(VALUE(TRIM(SUBSTITUTE(AO5,CHAR(160),""))),0)=0,1E+30,IFERROR(VALUE(TRIM(SUBSTITUTE(AO5,CHAR(160),""))),0)),
IF(IFERROR(VALUE(TRIM(SUBSTITUTE(AT5,CHAR(160),""))),0)=0,1E+30,IFERROR(VALUE(TRIM(SUBSTITUTE(AT5,CHAR(160),""))),0)),
IF(IFERROR(VALUE(TRIM(SUBSTITUTE(AY5,CHAR(160),""))),0)=0,1E+30,IFERROR(VALUE(TRIM(SUBSTITUTE(AY5,CHAR(160),""))),0))
)
*IFERROR(VALUE(TRIM(SUBSTITUTE(AE5,CHAR(160),""))),0)
)
)
)</f>
        <v/>
      </c>
      <c r="BE5" s="886" t="str">
        <f>IF(BC5="","",BC5+BD5)</f>
        <v/>
      </c>
      <c r="BF5" s="873" t="str" cm="1">
        <f t="array" ref="BF5">IF($AE5="","",
_xlfn.IFS(
$BA5="Devis 1",
IF(ISBLANK(AN5),"",IFERROR(VALUE(TRIM(SUBSTITUTE(AN5,CHAR(160),""))),0)*IFERROR(VALUE(TRIM(SUBSTITUTE($AE5,CHAR(160),""))),0)),
$BA5="Devis 2",
IF(ISBLANK(AS5),"",IFERROR(VALUE(TRIM(SUBSTITUTE(AS5,CHAR(160),""))),0)*IFERROR(VALUE(TRIM(SUBSTITUTE($AE5,CHAR(160),""))),0)),
$BA5="Devis 3",
IF(ISBLANK(AX5),"",IFERROR(VALUE(TRIM(SUBSTITUTE(AX5,CHAR(160),""))),0)*IFERROR(VALUE(TRIM(SUBSTITUTE($AE5,CHAR(160),""))),0)),
TRUE,0
)
)</f>
        <v/>
      </c>
      <c r="BG5" s="873" t="str" cm="1">
        <f t="array" ref="BG5">IF($AE5="","",
_xlfn.IFS(
$BA5="Devis 1",
IF(ISBLANK(AO5),"",IFERROR(VALUE(TRIM(SUBSTITUTE(AO5,CHAR(160),""))),0)*IFERROR(VALUE(TRIM(SUBSTITUTE($AE5,CHAR(160),""))),0)),
$BA5="Devis 2",
IF(ISBLANK(AT5),"",IFERROR(VALUE(TRIM(SUBSTITUTE(AT5,CHAR(160),""))),0)*IFERROR(VALUE(TRIM(SUBSTITUTE($AE5,CHAR(160),""))),0)),
$BA5="Devis 3",
IF(ISBLANK(AY5),"",IFERROR(VALUE(TRIM(SUBSTITUTE(AY5,CHAR(160),""))),0)*IFERROR(VALUE(TRIM(SUBSTITUTE($AE5,CHAR(160),""))),0)),
TRUE,0
)
)</f>
        <v/>
      </c>
      <c r="BH5" s="874" t="str">
        <f>IF(BF5="","",BF5+BG5)</f>
        <v/>
      </c>
      <c r="BI5" s="866"/>
      <c r="BJ5" s="774" t="str" cm="1">
        <f t="array" ref="BJ5">IF(OR(BH5="",BE5="",BF5="",BC5="",BG5="",BD5=""),"",_xlfn.IFS(
ROUND(IFERROR(VALUE(TRIM(SUBSTITUTE(BH5,CHAR(160),""))),0),2)&gt;
ROUND(IFERROR(VALUE(TRIM(SUBSTITUTE(BE5,CHAR(160),""))),0),2),
"KO : Le montant retenu TTC est supérieur au montant raisonnable TTC. Merci de revoir la ligne de dépense ou plafonner son montant.",
ROUND(IFERROR(VALUE(TRIM(SUBSTITUTE(BF5,CHAR(160),""))),0),2)&gt;
ROUND(IFERROR(VALUE(TRIM(SUBSTITUTE(BC5,CHAR(160),""))),0),2),
"Attention : Le montant retenu HT est supérieur au montant HT raisonnable. Merci de revoir la ligne de dépense, plafonner son montant, ou justifier la reventillation HT / TVA.",
ROUND(IFERROR(VALUE(TRIM(SUBSTITUTE(BG5,CHAR(160),""))),0),2)&gt;
ROUND(IFERROR(VALUE(TRIM(SUBSTITUTE(BD5,CHAR(160),""))),0),2),
"Attention : Le montant TVA retenu est supérieur au montant TVA raisonnable. Merci de revoir la ligne de dépense, plafonner son montant, ou justifier la reventillation HT / TVA.",
ROUND(IFERROR(VALUE(TRIM(SUBSTITUTE(BH5,CHAR(160),""))),0),2)&gt;
ROUND(IFERROR(VALUE(TRIM(SUBSTITUTE(MIN(N5,S5,X5),CHAR(160),""))),0),2),
"Attention : Le devis retenu n'est pas le moins cher. Une justification de la part du porteur est nécessaire.",
ROUND(IFERROR(VALUE(TRIM(SUBSTITUTE(BH5,CHAR(160),""))),0),2)=0,
"Attention : montant présenté entièrement écarté",
ROUND(IFERROR(VALUE(TRIM(SUBSTITUTE(BE5,CHAR(160),""))),0),2)=
ROUND(IFERROR(VALUE(TRIM(SUBSTITUTE(BH5,CHAR(160),""))),0),2),
"OK",
ROUND(IFERROR(VALUE(TRIM(SUBSTITUTE(BE5,CHAR(160),""))),0),2)&gt;
ROUND(IFERROR(VALUE(TRIM(SUBSTITUTE(BH5,CHAR(160),""))),0),2),
" OK : Montant instruit inférieur au montant raisonnable.",
TRUE,""
))</f>
        <v/>
      </c>
      <c r="BK5" s="774" t="str" cm="1">
        <f t="array" ref="BK5">IF(OR(BH5="",AB5="",BF5="",Z5="",BG5="",AA5=""),"",_xlfn.IFS(
ROUND(IFERROR(VALUE(TRIM(SUBSTITUTE(BH5,CHAR(160),""))),0),2)&gt;
ROUND(IFERROR(VALUE(TRIM(SUBSTITUTE(AB5,CHAR(160),""))),0),2),
"KO : Le montant retenu TTC est supérieur au montant présenté TTC. Merci de revoir la ligne de dépense ou plafonner son montant.",
ROUND(IFERROR(VALUE(TRIM(SUBSTITUTE(BF5,CHAR(160),""))),0),2)&gt;
ROUND(IFERROR(VALUE(TRIM(SUBSTITUTE(Z5,CHAR(160),""))),0),2),
"Attention : Le montant retenu HT est supérieur au montant HT présenté. Merci de revoir la ligne de dépense, plafonner son montant, ou justifier la reventillation HT / TVA.",
ROUND(IFERROR(VALUE(TRIM(SUBSTITUTE(BG5,CHAR(160),""))),0),2)&gt;
ROUND(IFERROR(VALUE(TRIM(SUBSTITUTE(AA5,CHAR(160),""))),0),2),
"Attention : Le montant TVA retenu est supérieur au montant TVA présenté. Merci de revoir la ligne de dépense, plafonner son montant, ou justifier la reventillation HT / TVA.",
ROUND(IFERROR(VALUE(TRIM(SUBSTITUTE(AB5,CHAR(160),""))),0),2)=0,
"",
ROUND(IFERROR(VALUE(TRIM(SUBSTITUTE(BH5,CHAR(160),""))),0),2)=
ROUND(IFERROR(VALUE(TRIM(SUBSTITUTE(AB5,CHAR(160),""))),0),2),
"OK",
ROUND(IFERROR(VALUE(TRIM(SUBSTITUTE(BH5,CHAR(160),""))),0),2)=0,
"Attention : Montant présenté entièrement rejeté.",
ROUND(IFERROR(VALUE(TRIM(SUBSTITUTE(BH5,CHAR(160),""))),0),2)&lt;
ROUND(IFERROR(VALUE(TRIM(SUBSTITUTE(AB5,CHAR(160),""))),0),2),
"Attention : Montant présenté partiellement rejeté.",
TRUE,""
))</f>
        <v/>
      </c>
      <c r="BL5" s="773" t="str">
        <f t="shared" si="6"/>
        <v/>
      </c>
      <c r="BM5" s="773" t="str">
        <f t="shared" si="6"/>
        <v/>
      </c>
      <c r="BN5" s="773" t="str">
        <f t="shared" si="6"/>
        <v/>
      </c>
    </row>
    <row r="6" spans="1:66" s="1" customFormat="1" ht="15" customHeight="1">
      <c r="A6" s="175">
        <v>2</v>
      </c>
      <c r="B6" s="7"/>
      <c r="C6" s="9"/>
      <c r="D6" s="30"/>
      <c r="E6" s="36"/>
      <c r="F6" s="34"/>
      <c r="G6" s="35"/>
      <c r="H6" s="760"/>
      <c r="I6" s="786"/>
      <c r="J6" s="792"/>
      <c r="K6" s="758"/>
      <c r="L6" s="761"/>
      <c r="M6" s="762"/>
      <c r="N6" s="808" t="str">
        <f t="shared" ref="N6:N69" si="21">IF(OR(L6="", M6=""), "", IFERROR(VALUE(TRIM(SUBSTITUTE(L6,CHAR(160),""))),0) + IFERROR(VALUE(TRIM(SUBSTITUTE(M6,CHAR(160),""))),0))</f>
        <v/>
      </c>
      <c r="O6" s="846"/>
      <c r="P6" s="847"/>
      <c r="Q6" s="762"/>
      <c r="R6" s="762"/>
      <c r="S6" s="808" t="str">
        <f t="shared" ref="S6:S69" si="22">IF(OR(Q6="", R6=""), "", IFERROR(VALUE(TRIM(SUBSTITUTE(Q6,CHAR(160),""))),0) + IFERROR(VALUE(TRIM(SUBSTITUTE(R6,CHAR(160),""))),0))</f>
        <v/>
      </c>
      <c r="T6" s="850"/>
      <c r="U6" s="847"/>
      <c r="V6" s="762"/>
      <c r="W6" s="762"/>
      <c r="X6" s="830" t="str">
        <f t="shared" ref="X6:X69" si="23">IF(OR(V6="", W6=""), "", IFERROR(VALUE(TRIM(SUBSTITUTE(V6,CHAR(160),""))),0) + IFERROR(VALUE(TRIM(SUBSTITUTE(W6,CHAR(160),""))),0))</f>
        <v/>
      </c>
      <c r="Y6" s="246"/>
      <c r="Z6" s="284" t="str" cm="1">
        <f t="array" ref="Z6">IF((_xlfn.IFS(TRIM(SUBSTITUTE(Y6,CHAR(160),""))="Devis 1",IFERROR(VALUE(TRIM(SUBSTITUTE(L6,CHAR(160),""))),0),TRIM(SUBSTITUTE(Y6,CHAR(160),""))="Devis 2",IFERROR(VALUE(TRIM(SUBSTITUTE(Q6,CHAR(160),""))),0),TRIM(SUBSTITUTE(Y6,CHAR(160),""))="Devis 3",IFERROR(VALUE(TRIM(SUBSTITUTE(V6,CHAR(160),""))),0),TRUE,0)*IFERROR(VALUE(TRIM(SUBSTITUTE(C6,CHAR(160),""))),0))=0,"",_xlfn.IFS(TRIM(SUBSTITUTE(Y6,CHAR(160),""))="Devis 1",IFERROR(VALUE(TRIM(SUBSTITUTE(L6,CHAR(160),""))),0),TRIM(SUBSTITUTE(Y6,CHAR(160),""))="Devis 2",IFERROR(VALUE(TRIM(SUBSTITUTE(Q6,CHAR(160),""))),0),TRIM(SUBSTITUTE(Y6,CHAR(160),""))="Devis 3",IFERROR(VALUE(TRIM(SUBSTITUTE(V6,CHAR(160),""))),0),TRUE,0)*IFERROR(VALUE(TRIM(SUBSTITUTE(C6,CHAR(160),""))),0))</f>
        <v/>
      </c>
      <c r="AA6" s="275" t="str" cm="1">
        <f t="array" ref="AA6">IF((_xlfn.IFS(TRIM(SUBSTITUTE(Y6,CHAR(160),""))="Devis 1",IFERROR(VALUE(TRIM(SUBSTITUTE(M6,CHAR(160),""))),0),TRIM(SUBSTITUTE(Y6,CHAR(160),""))="Devis 2",IFERROR(VALUE(TRIM(SUBSTITUTE(R6,CHAR(160),""))),0),TRIM(SUBSTITUTE(Y6,CHAR(160),""))="Devis 3",IFERROR(VALUE(TRIM(SUBSTITUTE(W6,CHAR(160),""))),0),TRUE,0)*IFERROR(VALUE(TRIM(SUBSTITUTE(C6,CHAR(160),""))),0))=0,IF(Z6&lt;&gt;"",0,""),_xlfn.IFS(TRIM(SUBSTITUTE(Y6,CHAR(160),""))="Devis 1",IFERROR(VALUE(TRIM(SUBSTITUTE(M6,CHAR(160),""))),0),TRIM(SUBSTITUTE(Y6,CHAR(160),""))="Devis 2",IFERROR(VALUE(TRIM(SUBSTITUTE(R6,CHAR(160),""))),0),TRIM(SUBSTITUTE(Y6,CHAR(160),""))="Devis 3",IFERROR(VALUE(TRIM(SUBSTITUTE(W6,CHAR(160),""))),0),TRUE,0)*IFERROR(VALUE(TRIM(SUBSTITUTE(C6,CHAR(160),""))),0))</f>
        <v/>
      </c>
      <c r="AB6" s="285" t="str">
        <f t="shared" ref="AB6:AB69" si="24">IF(OR(Z6="", AA6=""), "", IFERROR(VALUE(TRIM(SUBSTITUTE(Z6,CHAR(160),""))),0) + IFERROR(VALUE(TRIM(SUBSTITUTE(AA6,CHAR(160),""))),0))</f>
        <v/>
      </c>
      <c r="AC6" s="209"/>
      <c r="AD6" s="747" t="str">
        <f t="shared" si="0"/>
        <v/>
      </c>
      <c r="AE6" s="747" t="str">
        <f t="shared" si="1"/>
        <v/>
      </c>
      <c r="AF6" s="747" t="str">
        <f t="shared" si="2"/>
        <v/>
      </c>
      <c r="AG6" s="747" t="str">
        <f t="shared" si="3"/>
        <v/>
      </c>
      <c r="AH6" s="747" t="str">
        <f t="shared" si="4"/>
        <v/>
      </c>
      <c r="AI6" s="747" t="str">
        <f t="shared" ref="AI6:AI69" si="25">IF(G6="","",G6)</f>
        <v/>
      </c>
      <c r="AJ6" s="776" t="str">
        <f t="shared" ref="AJ6:AJ69" si="26">IF(H6="","",H6)</f>
        <v/>
      </c>
      <c r="AK6" s="776" t="str">
        <f t="shared" ref="AK6:AK69" si="27">IF(I6="","",I6)</f>
        <v/>
      </c>
      <c r="AL6" s="802" t="str">
        <f t="shared" ref="AL6:AL69" si="28">IF(J6="","",J6)</f>
        <v/>
      </c>
      <c r="AM6" s="747" t="str">
        <f t="shared" ref="AM6:AM69" si="29">IF(K6="","",K6)</f>
        <v/>
      </c>
      <c r="AN6" s="771" t="str">
        <f t="shared" ref="AN6:AN69" si="30">IF(L6="","",L6)</f>
        <v/>
      </c>
      <c r="AO6" s="771" t="str">
        <f t="shared" ref="AO6:AO69" si="31">IF(M6="","",M6)</f>
        <v/>
      </c>
      <c r="AP6" s="808" t="str">
        <f t="shared" ref="AP6:AP69" si="32">IF(OR(AN6="", AO6=""), "", IFERROR(VALUE(TRIM(SUBSTITUTE(AN6,CHAR(160),""))),0) + IFERROR(VALUE(TRIM(SUBSTITUTE(AO6,CHAR(160),""))),0))</f>
        <v/>
      </c>
      <c r="AQ6" s="819" t="str">
        <f t="shared" ref="AQ6:AQ69" si="33">IF(O6="","",O6)</f>
        <v/>
      </c>
      <c r="AR6" s="771" t="str">
        <f t="shared" ref="AR6:AR69" si="34">IF(P6="","",P6)</f>
        <v/>
      </c>
      <c r="AS6" s="771" t="str">
        <f t="shared" ref="AS6:AS69" si="35">IF(Q6="","",Q6)</f>
        <v/>
      </c>
      <c r="AT6" s="771" t="str">
        <f t="shared" ref="AT6:AT69" si="36">IF(R6="","",R6)</f>
        <v/>
      </c>
      <c r="AU6" s="808" t="str">
        <f t="shared" ref="AU6:AU69" si="37">IF(OR(AS6="",AT6=""),"",IFERROR(VALUE(TRIM(SUBSTITUTE(AS6,CHAR(160),""))),0)+IFERROR(VALUE(TRIM(SUBSTITUTE(AT6,CHAR(160),""))),0))</f>
        <v/>
      </c>
      <c r="AV6" s="842" t="str">
        <f t="shared" ref="AV6:AV69" si="38">IF(T6="","",T6)</f>
        <v/>
      </c>
      <c r="AW6" s="771" t="str">
        <f t="shared" ref="AW6:AW69" si="39">IF(U6="","",U6)</f>
        <v/>
      </c>
      <c r="AX6" s="771" t="str">
        <f t="shared" ref="AX6:AX69" si="40">IF(V6="","",V6)</f>
        <v/>
      </c>
      <c r="AY6" s="771" t="str">
        <f t="shared" ref="AY6:AY69" si="41">IF(W6="","",W6)</f>
        <v/>
      </c>
      <c r="AZ6" s="831" t="str">
        <f t="shared" ref="AZ6:AZ69" si="42">IF(OR(AX6="",AY6=""),"",IFERROR(VALUE(TRIM(SUBSTITUTE(AX6,CHAR(160),""))),0)+IFERROR(VALUE(TRIM(SUBSTITUTE(AY6,CHAR(160),""))),0))</f>
        <v/>
      </c>
      <c r="BA6" s="835" t="str">
        <f t="shared" ref="BA6:BA69" si="43">IF(Y6="","",Y6)</f>
        <v/>
      </c>
      <c r="BB6" s="772"/>
      <c r="BC6" s="275" t="str">
        <f t="shared" ref="BC6:BC69" si="44">IF(AF6="","",
IF(
AND(
IFERROR(VALUE(TRIM(SUBSTITUTE(AN6,CHAR(160),""))),0)=0,
IFERROR(VALUE(TRIM(SUBSTITUTE(AS6,CHAR(160),""))),0)=0,
IFERROR(VALUE(TRIM(SUBSTITUTE(AX6,CHAR(160),""))),0)=0
),
0,
IF(
1.15*
MIN(
IF(IFERROR(VALUE(TRIM(SUBSTITUTE(AN6,CHAR(160),""))),0)=0,1E+30,IFERROR(VALUE(TRIM(SUBSTITUTE(AN6,CHAR(160),""))),0)),
IF(IFERROR(VALUE(TRIM(SUBSTITUTE(AS6,CHAR(160),""))),0)=0,1E+30,IFERROR(VALUE(TRIM(SUBSTITUTE(AS6,CHAR(160),""))),0)),
IF(IFERROR(VALUE(TRIM(SUBSTITUTE(AX6,CHAR(160),""))),0)=0,1E+30,IFERROR(VALUE(TRIM(SUBSTITUTE(AX6,CHAR(160),""))),0))
)
*IFERROR(VALUE(TRIM(SUBSTITUTE(AE6,CHAR(160),""))),0)
=0,
0,
1.15*
MIN(
IF(IFERROR(VALUE(TRIM(SUBSTITUTE(AN6,CHAR(160),""))),0)=0,1E+30,IFERROR(VALUE(TRIM(SUBSTITUTE(AN6,CHAR(160),""))),0)),
IF(IFERROR(VALUE(TRIM(SUBSTITUTE(AS6,CHAR(160),""))),0)=0,1E+30,IFERROR(VALUE(TRIM(SUBSTITUTE(AS6,CHAR(160),""))),0)),
IF(IFERROR(VALUE(TRIM(SUBSTITUTE(AX6,CHAR(160),""))),0)=0,1E+30,IFERROR(VALUE(TRIM(SUBSTITUTE(AX6,CHAR(160),""))),0))
)
*IFERROR(VALUE(TRIM(SUBSTITUTE(AE6,CHAR(160),""))),0)
)
)
)</f>
        <v/>
      </c>
      <c r="BD6" s="275" t="str">
        <f t="shared" ref="BD6:BD69" si="45">IF(AF6="","",
IF(
AND(
IFERROR(VALUE(TRIM(SUBSTITUTE(AO6,CHAR(160),""))),0)=0,
IFERROR(VALUE(TRIM(SUBSTITUTE(AT6,CHAR(160),""))),0)=0,
IFERROR(VALUE(TRIM(SUBSTITUTE(AY6,CHAR(160),""))),0)=0
),
0,
IF(
1.15*
MIN(
IF(IFERROR(VALUE(TRIM(SUBSTITUTE(AO6,CHAR(160),""))),0)=0,1E+30,IFERROR(VALUE(TRIM(SUBSTITUTE(AO6,CHAR(160),""))),0)),
IF(IFERROR(VALUE(TRIM(SUBSTITUTE(AT6,CHAR(160),""))),0)=0,1E+30,IFERROR(VALUE(TRIM(SUBSTITUTE(AT6,CHAR(160),""))),0)),
IF(IFERROR(VALUE(TRIM(SUBSTITUTE(AY6,CHAR(160),""))),0)=0,1E+30,IFERROR(VALUE(TRIM(SUBSTITUTE(AY6,CHAR(160),""))),0))
)
*IFERROR(VALUE(TRIM(SUBSTITUTE(AE6,CHAR(160),""))),0)
=0,
0,
1.15*
MIN(
IF(IFERROR(VALUE(TRIM(SUBSTITUTE(AO6,CHAR(160),""))),0)=0,1E+30,IFERROR(VALUE(TRIM(SUBSTITUTE(AO6,CHAR(160),""))),0)),
IF(IFERROR(VALUE(TRIM(SUBSTITUTE(AT6,CHAR(160),""))),0)=0,1E+30,IFERROR(VALUE(TRIM(SUBSTITUTE(AT6,CHAR(160),""))),0)),
IF(IFERROR(VALUE(TRIM(SUBSTITUTE(AY6,CHAR(160),""))),0)=0,1E+30,IFERROR(VALUE(TRIM(SUBSTITUTE(AY6,CHAR(160),""))),0))
)
*IFERROR(VALUE(TRIM(SUBSTITUTE(AE6,CHAR(160),""))),0)
)
)
)</f>
        <v/>
      </c>
      <c r="BE6" s="886" t="str">
        <f t="shared" ref="BE6:BE69" si="46">IF(BC6="","",BC6+BD6)</f>
        <v/>
      </c>
      <c r="BF6" s="873" t="str" cm="1">
        <f t="array" ref="BF6">IF($AE6="","",
_xlfn.IFS(
$BA6="Devis 1",
IF(ISBLANK(AN6),"",IFERROR(VALUE(TRIM(SUBSTITUTE(AN6,CHAR(160),""))),0)*IFERROR(VALUE(TRIM(SUBSTITUTE($AE6,CHAR(160),""))),0)),
$BA6="Devis 2",
IF(ISBLANK(AS6),"",IFERROR(VALUE(TRIM(SUBSTITUTE(AS6,CHAR(160),""))),0)*IFERROR(VALUE(TRIM(SUBSTITUTE($AE6,CHAR(160),""))),0)),
$BA6="Devis 3",
IF(ISBLANK(AX6),"",IFERROR(VALUE(TRIM(SUBSTITUTE(AX6,CHAR(160),""))),0)*IFERROR(VALUE(TRIM(SUBSTITUTE($AE6,CHAR(160),""))),0)),
TRUE,0
)
)</f>
        <v/>
      </c>
      <c r="BG6" s="873" t="str" cm="1">
        <f t="array" ref="BG6">IF($AE6="","",
_xlfn.IFS(
$BA6="Devis 1",
IF(ISBLANK(AO6),"",IFERROR(VALUE(TRIM(SUBSTITUTE(AO6,CHAR(160),""))),0)*IFERROR(VALUE(TRIM(SUBSTITUTE($AE6,CHAR(160),""))),0)),
$BA6="Devis 2",
IF(ISBLANK(AT6),"",IFERROR(VALUE(TRIM(SUBSTITUTE(AT6,CHAR(160),""))),0)*IFERROR(VALUE(TRIM(SUBSTITUTE($AE6,CHAR(160),""))),0)),
$BA6="Devis 3",
IF(ISBLANK(AY6),"",IFERROR(VALUE(TRIM(SUBSTITUTE(AY6,CHAR(160),""))),0)*IFERROR(VALUE(TRIM(SUBSTITUTE($AE6,CHAR(160),""))),0)),
TRUE,0
)
)</f>
        <v/>
      </c>
      <c r="BH6" s="874" t="str">
        <f t="shared" ref="BH6:BH69" si="47">IF(BF6="","",BF6+BG6)</f>
        <v/>
      </c>
      <c r="BI6" s="866"/>
      <c r="BJ6" s="774" t="str" cm="1">
        <f t="array" ref="BJ6">IF(OR(BH6="",BE6="",BF6="",BC6="",BG6="",BD6=""),"",_xlfn.IFS(
ROUND(IFERROR(VALUE(TRIM(SUBSTITUTE(BH6,CHAR(160),""))),0),2)&gt;
ROUND(IFERROR(VALUE(TRIM(SUBSTITUTE(BE6,CHAR(160),""))),0),2),
"KO : Le montant retenu TTC est supérieur au montant raisonnable TTC. Merci de revoir la ligne de dépense ou plafonner son montant.",
ROUND(IFERROR(VALUE(TRIM(SUBSTITUTE(BF6,CHAR(160),""))),0),2)&gt;
ROUND(IFERROR(VALUE(TRIM(SUBSTITUTE(BC6,CHAR(160),""))),0),2),
"Attention : Le montant retenu HT est supérieur au montant HT raisonnable. Merci de revoir la ligne de dépense, plafonner son montant, ou justifier la reventillation HT / TVA.",
ROUND(IFERROR(VALUE(TRIM(SUBSTITUTE(BG6,CHAR(160),""))),0),2)&gt;
ROUND(IFERROR(VALUE(TRIM(SUBSTITUTE(BD6,CHAR(160),""))),0),2),
"Attention : Le montant TVA retenu est supérieur au montant TVA raisonnable. Merci de revoir la ligne de dépense, plafonner son montant, ou justifier la reventillation HT / TVA.",
ROUND(IFERROR(VALUE(TRIM(SUBSTITUTE(BH6,CHAR(160),""))),0),2)&gt;
ROUND(IFERROR(VALUE(TRIM(SUBSTITUTE(MIN(N6,S6,X6),CHAR(160),""))),0),2),
"Attention : Le devis retenu n'est pas le moins cher. Une justification de la part du porteur est nécessaire.",
ROUND(IFERROR(VALUE(TRIM(SUBSTITUTE(BH6,CHAR(160),""))),0),2)=0,
"Attention : montant présenté entièrement écarté",
ROUND(IFERROR(VALUE(TRIM(SUBSTITUTE(BE6,CHAR(160),""))),0),2)=
ROUND(IFERROR(VALUE(TRIM(SUBSTITUTE(BH6,CHAR(160),""))),0),2),
"OK",
ROUND(IFERROR(VALUE(TRIM(SUBSTITUTE(BE6,CHAR(160),""))),0),2)&gt;
ROUND(IFERROR(VALUE(TRIM(SUBSTITUTE(BH6,CHAR(160),""))),0),2),
" OK : Montant instruit inférieur au montant raisonnable.",
TRUE,""
))</f>
        <v/>
      </c>
      <c r="BK6" s="774" t="str" cm="1">
        <f t="array" ref="BK6">IF(OR(BH6="",AB6="",BF6="",Z6="",BG6="",AA6=""),"",_xlfn.IFS(
ROUND(IFERROR(VALUE(TRIM(SUBSTITUTE(BH6,CHAR(160),""))),0),2)&gt;
ROUND(IFERROR(VALUE(TRIM(SUBSTITUTE(AB6,CHAR(160),""))),0),2),
"KO : Le montant retenu TTC est supérieur au montant présenté TTC. Merci de revoir la ligne de dépense ou plafonner son montant.",
ROUND(IFERROR(VALUE(TRIM(SUBSTITUTE(BF6,CHAR(160),""))),0),2)&gt;
ROUND(IFERROR(VALUE(TRIM(SUBSTITUTE(Z6,CHAR(160),""))),0),2),
"Attention : Le montant retenu HT est supérieur au montant HT présenté. Merci de revoir la ligne de dépense, plafonner son montant, ou justifier la reventillation HT / TVA.",
ROUND(IFERROR(VALUE(TRIM(SUBSTITUTE(BG6,CHAR(160),""))),0),2)&gt;
ROUND(IFERROR(VALUE(TRIM(SUBSTITUTE(AA6,CHAR(160),""))),0),2),
"Attention : Le montant TVA retenu est supérieur au montant TVA présenté. Merci de revoir la ligne de dépense, plafonner son montant, ou justifier la reventillation HT / TVA.",
ROUND(IFERROR(VALUE(TRIM(SUBSTITUTE(AB6,CHAR(160),""))),0),2)=0,
"",
ROUND(IFERROR(VALUE(TRIM(SUBSTITUTE(BH6,CHAR(160),""))),0),2)=
ROUND(IFERROR(VALUE(TRIM(SUBSTITUTE(AB6,CHAR(160),""))),0),2),
"OK",
ROUND(IFERROR(VALUE(TRIM(SUBSTITUTE(BH6,CHAR(160),""))),0),2)=0,
"Attention : Montant présenté entièrement rejeté.",
ROUND(IFERROR(VALUE(TRIM(SUBSTITUTE(BH6,CHAR(160),""))),0),2)&lt;
ROUND(IFERROR(VALUE(TRIM(SUBSTITUTE(AB6,CHAR(160),""))),0),2),
"Attention : Montant présenté partiellement rejeté.",
TRUE,""
))</f>
        <v/>
      </c>
      <c r="BL6" s="773" t="str">
        <f t="shared" ref="BL6:BL69" si="48">IF(OR(Z6="",BF6=""),"",(IFERROR(VALUE(TRIM(SUBSTITUTE(Z6,CHAR(160),""))),0))-(IFERROR(VALUE(TRIM(SUBSTITUTE(BF6,CHAR(160),""))),0)))</f>
        <v/>
      </c>
      <c r="BM6" s="773" t="str">
        <f t="shared" ref="BM6:BM69" si="49">IF(OR(AA6="",BG6=""),"",(IFERROR(VALUE(TRIM(SUBSTITUTE(AA6,CHAR(160),""))),0))-(IFERROR(VALUE(TRIM(SUBSTITUTE(BG6,CHAR(160),""))),0)))</f>
        <v/>
      </c>
      <c r="BN6" s="773" t="str">
        <f t="shared" ref="BN6:BN69" si="50">IF(OR(AB6="",BH6=""),"",(IFERROR(VALUE(TRIM(SUBSTITUTE(AB6,CHAR(160),""))),0))-(IFERROR(VALUE(TRIM(SUBSTITUTE(BH6,CHAR(160),""))),0)))</f>
        <v/>
      </c>
    </row>
    <row r="7" spans="1:66" ht="15" customHeight="1">
      <c r="A7" s="193">
        <v>3</v>
      </c>
      <c r="B7" s="7"/>
      <c r="C7" s="9"/>
      <c r="D7" s="30"/>
      <c r="E7" s="36"/>
      <c r="F7" s="34"/>
      <c r="G7" s="35"/>
      <c r="H7" s="760"/>
      <c r="I7" s="786"/>
      <c r="J7" s="792"/>
      <c r="K7" s="758"/>
      <c r="L7" s="761"/>
      <c r="M7" s="762"/>
      <c r="N7" s="808" t="str">
        <f t="shared" si="21"/>
        <v/>
      </c>
      <c r="O7" s="846"/>
      <c r="P7" s="847"/>
      <c r="Q7" s="762"/>
      <c r="R7" s="762"/>
      <c r="S7" s="808" t="str">
        <f t="shared" si="22"/>
        <v/>
      </c>
      <c r="T7" s="850"/>
      <c r="U7" s="847"/>
      <c r="V7" s="762"/>
      <c r="W7" s="762"/>
      <c r="X7" s="830" t="str">
        <f t="shared" si="23"/>
        <v/>
      </c>
      <c r="Y7" s="246"/>
      <c r="Z7" s="284" t="str" cm="1">
        <f t="array" ref="Z7">IF((_xlfn.IFS(TRIM(SUBSTITUTE(Y7,CHAR(160),""))="Devis 1",IFERROR(VALUE(TRIM(SUBSTITUTE(L7,CHAR(160),""))),0),TRIM(SUBSTITUTE(Y7,CHAR(160),""))="Devis 2",IFERROR(VALUE(TRIM(SUBSTITUTE(Q7,CHAR(160),""))),0),TRIM(SUBSTITUTE(Y7,CHAR(160),""))="Devis 3",IFERROR(VALUE(TRIM(SUBSTITUTE(V7,CHAR(160),""))),0),TRUE,0)*IFERROR(VALUE(TRIM(SUBSTITUTE(C7,CHAR(160),""))),0))=0,"",_xlfn.IFS(TRIM(SUBSTITUTE(Y7,CHAR(160),""))="Devis 1",IFERROR(VALUE(TRIM(SUBSTITUTE(L7,CHAR(160),""))),0),TRIM(SUBSTITUTE(Y7,CHAR(160),""))="Devis 2",IFERROR(VALUE(TRIM(SUBSTITUTE(Q7,CHAR(160),""))),0),TRIM(SUBSTITUTE(Y7,CHAR(160),""))="Devis 3",IFERROR(VALUE(TRIM(SUBSTITUTE(V7,CHAR(160),""))),0),TRUE,0)*IFERROR(VALUE(TRIM(SUBSTITUTE(C7,CHAR(160),""))),0))</f>
        <v/>
      </c>
      <c r="AA7" s="275" t="str" cm="1">
        <f t="array" ref="AA7">IF((_xlfn.IFS(TRIM(SUBSTITUTE(Y7,CHAR(160),""))="Devis 1",IFERROR(VALUE(TRIM(SUBSTITUTE(M7,CHAR(160),""))),0),TRIM(SUBSTITUTE(Y7,CHAR(160),""))="Devis 2",IFERROR(VALUE(TRIM(SUBSTITUTE(R7,CHAR(160),""))),0),TRIM(SUBSTITUTE(Y7,CHAR(160),""))="Devis 3",IFERROR(VALUE(TRIM(SUBSTITUTE(W7,CHAR(160),""))),0),TRUE,0)*IFERROR(VALUE(TRIM(SUBSTITUTE(C7,CHAR(160),""))),0))=0,IF(Z7&lt;&gt;"",0,""),_xlfn.IFS(TRIM(SUBSTITUTE(Y7,CHAR(160),""))="Devis 1",IFERROR(VALUE(TRIM(SUBSTITUTE(M7,CHAR(160),""))),0),TRIM(SUBSTITUTE(Y7,CHAR(160),""))="Devis 2",IFERROR(VALUE(TRIM(SUBSTITUTE(R7,CHAR(160),""))),0),TRIM(SUBSTITUTE(Y7,CHAR(160),""))="Devis 3",IFERROR(VALUE(TRIM(SUBSTITUTE(W7,CHAR(160),""))),0),TRUE,0)*IFERROR(VALUE(TRIM(SUBSTITUTE(C7,CHAR(160),""))),0))</f>
        <v/>
      </c>
      <c r="AB7" s="285" t="str">
        <f t="shared" si="24"/>
        <v/>
      </c>
      <c r="AC7" s="209"/>
      <c r="AD7" s="747" t="str">
        <f t="shared" si="0"/>
        <v/>
      </c>
      <c r="AE7" s="747" t="str">
        <f t="shared" si="1"/>
        <v/>
      </c>
      <c r="AF7" s="747" t="str">
        <f t="shared" si="2"/>
        <v/>
      </c>
      <c r="AG7" s="747" t="str">
        <f t="shared" si="3"/>
        <v/>
      </c>
      <c r="AH7" s="747" t="str">
        <f t="shared" si="4"/>
        <v/>
      </c>
      <c r="AI7" s="747" t="str">
        <f t="shared" si="25"/>
        <v/>
      </c>
      <c r="AJ7" s="776" t="str">
        <f t="shared" si="26"/>
        <v/>
      </c>
      <c r="AK7" s="776" t="str">
        <f t="shared" si="27"/>
        <v/>
      </c>
      <c r="AL7" s="802" t="str">
        <f t="shared" si="28"/>
        <v/>
      </c>
      <c r="AM7" s="747" t="str">
        <f t="shared" si="29"/>
        <v/>
      </c>
      <c r="AN7" s="771" t="str">
        <f t="shared" si="30"/>
        <v/>
      </c>
      <c r="AO7" s="771" t="str">
        <f t="shared" si="31"/>
        <v/>
      </c>
      <c r="AP7" s="808" t="str">
        <f t="shared" si="32"/>
        <v/>
      </c>
      <c r="AQ7" s="819" t="str">
        <f t="shared" si="33"/>
        <v/>
      </c>
      <c r="AR7" s="771" t="str">
        <f t="shared" si="34"/>
        <v/>
      </c>
      <c r="AS7" s="771" t="str">
        <f t="shared" si="35"/>
        <v/>
      </c>
      <c r="AT7" s="771" t="str">
        <f t="shared" si="36"/>
        <v/>
      </c>
      <c r="AU7" s="808" t="str">
        <f t="shared" si="37"/>
        <v/>
      </c>
      <c r="AV7" s="842" t="str">
        <f t="shared" si="38"/>
        <v/>
      </c>
      <c r="AW7" s="771" t="str">
        <f t="shared" si="39"/>
        <v/>
      </c>
      <c r="AX7" s="771" t="str">
        <f t="shared" si="40"/>
        <v/>
      </c>
      <c r="AY7" s="771" t="str">
        <f t="shared" si="41"/>
        <v/>
      </c>
      <c r="AZ7" s="831" t="str">
        <f t="shared" si="42"/>
        <v/>
      </c>
      <c r="BA7" s="835" t="str">
        <f t="shared" si="43"/>
        <v/>
      </c>
      <c r="BB7" s="772"/>
      <c r="BC7" s="275" t="str">
        <f t="shared" si="44"/>
        <v/>
      </c>
      <c r="BD7" s="275" t="str">
        <f t="shared" si="45"/>
        <v/>
      </c>
      <c r="BE7" s="886" t="str">
        <f t="shared" si="46"/>
        <v/>
      </c>
      <c r="BF7" s="873" t="str" cm="1">
        <f t="array" ref="BF7">IF($AE7="","",
_xlfn.IFS(
$BA7="Devis 1",
IF(ISBLANK(AN7),"",IFERROR(VALUE(TRIM(SUBSTITUTE(AN7,CHAR(160),""))),0)*IFERROR(VALUE(TRIM(SUBSTITUTE($AE7,CHAR(160),""))),0)),
$BA7="Devis 2",
IF(ISBLANK(AS7),"",IFERROR(VALUE(TRIM(SUBSTITUTE(AS7,CHAR(160),""))),0)*IFERROR(VALUE(TRIM(SUBSTITUTE($AE7,CHAR(160),""))),0)),
$BA7="Devis 3",
IF(ISBLANK(AX7),"",IFERROR(VALUE(TRIM(SUBSTITUTE(AX7,CHAR(160),""))),0)*IFERROR(VALUE(TRIM(SUBSTITUTE($AE7,CHAR(160),""))),0)),
TRUE,0
)
)</f>
        <v/>
      </c>
      <c r="BG7" s="873" t="str" cm="1">
        <f t="array" ref="BG7">IF($AE7="","",
_xlfn.IFS(
$BA7="Devis 1",
IF(ISBLANK(AO7),"",IFERROR(VALUE(TRIM(SUBSTITUTE(AO7,CHAR(160),""))),0)*IFERROR(VALUE(TRIM(SUBSTITUTE($AE7,CHAR(160),""))),0)),
$BA7="Devis 2",
IF(ISBLANK(AT7),"",IFERROR(VALUE(TRIM(SUBSTITUTE(AT7,CHAR(160),""))),0)*IFERROR(VALUE(TRIM(SUBSTITUTE($AE7,CHAR(160),""))),0)),
$BA7="Devis 3",
IF(ISBLANK(AY7),"",IFERROR(VALUE(TRIM(SUBSTITUTE(AY7,CHAR(160),""))),0)*IFERROR(VALUE(TRIM(SUBSTITUTE($AE7,CHAR(160),""))),0)),
TRUE,0
)
)</f>
        <v/>
      </c>
      <c r="BH7" s="874" t="str">
        <f t="shared" si="47"/>
        <v/>
      </c>
      <c r="BI7" s="866"/>
      <c r="BJ7" s="774" t="str" cm="1">
        <f t="array" ref="BJ7">IF(OR(BH7="",BE7="",BF7="",BC7="",BG7="",BD7=""),"",_xlfn.IFS(
ROUND(IFERROR(VALUE(TRIM(SUBSTITUTE(BH7,CHAR(160),""))),0),2)&gt;
ROUND(IFERROR(VALUE(TRIM(SUBSTITUTE(BE7,CHAR(160),""))),0),2),
"KO : Le montant retenu TTC est supérieur au montant raisonnable TTC. Merci de revoir la ligne de dépense ou plafonner son montant.",
ROUND(IFERROR(VALUE(TRIM(SUBSTITUTE(BF7,CHAR(160),""))),0),2)&gt;
ROUND(IFERROR(VALUE(TRIM(SUBSTITUTE(BC7,CHAR(160),""))),0),2),
"Attention : Le montant retenu HT est supérieur au montant HT raisonnable. Merci de revoir la ligne de dépense, plafonner son montant, ou justifier la reventillation HT / TVA.",
ROUND(IFERROR(VALUE(TRIM(SUBSTITUTE(BG7,CHAR(160),""))),0),2)&gt;
ROUND(IFERROR(VALUE(TRIM(SUBSTITUTE(BD7,CHAR(160),""))),0),2),
"Attention : Le montant TVA retenu est supérieur au montant TVA raisonnable. Merci de revoir la ligne de dépense, plafonner son montant, ou justifier la reventillation HT / TVA.",
ROUND(IFERROR(VALUE(TRIM(SUBSTITUTE(BH7,CHAR(160),""))),0),2)&gt;
ROUND(IFERROR(VALUE(TRIM(SUBSTITUTE(MIN(N7,S7,X7),CHAR(160),""))),0),2),
"Attention : Le devis retenu n'est pas le moins cher. Une justification de la part du porteur est nécessaire.",
ROUND(IFERROR(VALUE(TRIM(SUBSTITUTE(BH7,CHAR(160),""))),0),2)=0,
"Attention : montant présenté entièrement écarté",
ROUND(IFERROR(VALUE(TRIM(SUBSTITUTE(BE7,CHAR(160),""))),0),2)=
ROUND(IFERROR(VALUE(TRIM(SUBSTITUTE(BH7,CHAR(160),""))),0),2),
"OK",
ROUND(IFERROR(VALUE(TRIM(SUBSTITUTE(BE7,CHAR(160),""))),0),2)&gt;
ROUND(IFERROR(VALUE(TRIM(SUBSTITUTE(BH7,CHAR(160),""))),0),2),
" OK : Montant instruit inférieur au montant raisonnable.",
TRUE,""
))</f>
        <v/>
      </c>
      <c r="BK7" s="774" t="str" cm="1">
        <f t="array" ref="BK7">IF(OR(BH7="",AB7="",BF7="",Z7="",BG7="",AA7=""),"",_xlfn.IFS(
ROUND(IFERROR(VALUE(TRIM(SUBSTITUTE(BH7,CHAR(160),""))),0),2)&gt;
ROUND(IFERROR(VALUE(TRIM(SUBSTITUTE(AB7,CHAR(160),""))),0),2),
"KO : Le montant retenu TTC est supérieur au montant présenté TTC. Merci de revoir la ligne de dépense ou plafonner son montant.",
ROUND(IFERROR(VALUE(TRIM(SUBSTITUTE(BF7,CHAR(160),""))),0),2)&gt;
ROUND(IFERROR(VALUE(TRIM(SUBSTITUTE(Z7,CHAR(160),""))),0),2),
"Attention : Le montant retenu HT est supérieur au montant HT présenté. Merci de revoir la ligne de dépense, plafonner son montant, ou justifier la reventillation HT / TVA.",
ROUND(IFERROR(VALUE(TRIM(SUBSTITUTE(BG7,CHAR(160),""))),0),2)&gt;
ROUND(IFERROR(VALUE(TRIM(SUBSTITUTE(AA7,CHAR(160),""))),0),2),
"Attention : Le montant TVA retenu est supérieur au montant TVA présenté. Merci de revoir la ligne de dépense, plafonner son montant, ou justifier la reventillation HT / TVA.",
ROUND(IFERROR(VALUE(TRIM(SUBSTITUTE(AB7,CHAR(160),""))),0),2)=0,
"",
ROUND(IFERROR(VALUE(TRIM(SUBSTITUTE(BH7,CHAR(160),""))),0),2)=
ROUND(IFERROR(VALUE(TRIM(SUBSTITUTE(AB7,CHAR(160),""))),0),2),
"OK",
ROUND(IFERROR(VALUE(TRIM(SUBSTITUTE(BH7,CHAR(160),""))),0),2)=0,
"Attention : Montant présenté entièrement rejeté.",
ROUND(IFERROR(VALUE(TRIM(SUBSTITUTE(BH7,CHAR(160),""))),0),2)&lt;
ROUND(IFERROR(VALUE(TRIM(SUBSTITUTE(AB7,CHAR(160),""))),0),2),
"Attention : Montant présenté partiellement rejeté.",
TRUE,""
))</f>
        <v/>
      </c>
      <c r="BL7" s="773" t="str">
        <f t="shared" si="48"/>
        <v/>
      </c>
      <c r="BM7" s="773" t="str">
        <f t="shared" si="49"/>
        <v/>
      </c>
      <c r="BN7" s="773" t="str">
        <f t="shared" si="50"/>
        <v/>
      </c>
    </row>
    <row r="8" spans="1:66" ht="15" customHeight="1">
      <c r="A8" s="193">
        <v>4</v>
      </c>
      <c r="B8" s="7"/>
      <c r="C8" s="9"/>
      <c r="D8" s="30"/>
      <c r="E8" s="36"/>
      <c r="F8" s="34"/>
      <c r="G8" s="35"/>
      <c r="H8" s="685"/>
      <c r="I8" s="786"/>
      <c r="J8" s="792"/>
      <c r="K8" s="758"/>
      <c r="L8" s="761"/>
      <c r="M8" s="762"/>
      <c r="N8" s="808" t="str">
        <f t="shared" si="21"/>
        <v/>
      </c>
      <c r="O8" s="846"/>
      <c r="P8" s="847"/>
      <c r="Q8" s="762"/>
      <c r="R8" s="762"/>
      <c r="S8" s="808" t="str">
        <f t="shared" si="22"/>
        <v/>
      </c>
      <c r="T8" s="850"/>
      <c r="U8" s="847"/>
      <c r="V8" s="762"/>
      <c r="W8" s="762"/>
      <c r="X8" s="830" t="str">
        <f t="shared" si="23"/>
        <v/>
      </c>
      <c r="Y8" s="246"/>
      <c r="Z8" s="284" t="str" cm="1">
        <f t="array" ref="Z8">IF((_xlfn.IFS(TRIM(SUBSTITUTE(Y8,CHAR(160),""))="Devis 1",IFERROR(VALUE(TRIM(SUBSTITUTE(L8,CHAR(160),""))),0),TRIM(SUBSTITUTE(Y8,CHAR(160),""))="Devis 2",IFERROR(VALUE(TRIM(SUBSTITUTE(Q8,CHAR(160),""))),0),TRIM(SUBSTITUTE(Y8,CHAR(160),""))="Devis 3",IFERROR(VALUE(TRIM(SUBSTITUTE(V8,CHAR(160),""))),0),TRUE,0)*IFERROR(VALUE(TRIM(SUBSTITUTE(C8,CHAR(160),""))),0))=0,"",_xlfn.IFS(TRIM(SUBSTITUTE(Y8,CHAR(160),""))="Devis 1",IFERROR(VALUE(TRIM(SUBSTITUTE(L8,CHAR(160),""))),0),TRIM(SUBSTITUTE(Y8,CHAR(160),""))="Devis 2",IFERROR(VALUE(TRIM(SUBSTITUTE(Q8,CHAR(160),""))),0),TRIM(SUBSTITUTE(Y8,CHAR(160),""))="Devis 3",IFERROR(VALUE(TRIM(SUBSTITUTE(V8,CHAR(160),""))),0),TRUE,0)*IFERROR(VALUE(TRIM(SUBSTITUTE(C8,CHAR(160),""))),0))</f>
        <v/>
      </c>
      <c r="AA8" s="275" t="str" cm="1">
        <f t="array" ref="AA8">IF((_xlfn.IFS(TRIM(SUBSTITUTE(Y8,CHAR(160),""))="Devis 1",IFERROR(VALUE(TRIM(SUBSTITUTE(M8,CHAR(160),""))),0),TRIM(SUBSTITUTE(Y8,CHAR(160),""))="Devis 2",IFERROR(VALUE(TRIM(SUBSTITUTE(R8,CHAR(160),""))),0),TRIM(SUBSTITUTE(Y8,CHAR(160),""))="Devis 3",IFERROR(VALUE(TRIM(SUBSTITUTE(W8,CHAR(160),""))),0),TRUE,0)*IFERROR(VALUE(TRIM(SUBSTITUTE(C8,CHAR(160),""))),0))=0,IF(Z8&lt;&gt;"",0,""),_xlfn.IFS(TRIM(SUBSTITUTE(Y8,CHAR(160),""))="Devis 1",IFERROR(VALUE(TRIM(SUBSTITUTE(M8,CHAR(160),""))),0),TRIM(SUBSTITUTE(Y8,CHAR(160),""))="Devis 2",IFERROR(VALUE(TRIM(SUBSTITUTE(R8,CHAR(160),""))),0),TRIM(SUBSTITUTE(Y8,CHAR(160),""))="Devis 3",IFERROR(VALUE(TRIM(SUBSTITUTE(W8,CHAR(160),""))),0),TRUE,0)*IFERROR(VALUE(TRIM(SUBSTITUTE(C8,CHAR(160),""))),0))</f>
        <v/>
      </c>
      <c r="AB8" s="285" t="str">
        <f t="shared" si="24"/>
        <v/>
      </c>
      <c r="AC8" s="209"/>
      <c r="AD8" s="747" t="str">
        <f t="shared" si="0"/>
        <v/>
      </c>
      <c r="AE8" s="747" t="str">
        <f t="shared" si="1"/>
        <v/>
      </c>
      <c r="AF8" s="747" t="str">
        <f t="shared" si="2"/>
        <v/>
      </c>
      <c r="AG8" s="747" t="str">
        <f t="shared" si="3"/>
        <v/>
      </c>
      <c r="AH8" s="747" t="str">
        <f t="shared" si="4"/>
        <v/>
      </c>
      <c r="AI8" s="747" t="str">
        <f t="shared" si="25"/>
        <v/>
      </c>
      <c r="AJ8" s="776" t="str">
        <f t="shared" si="26"/>
        <v/>
      </c>
      <c r="AK8" s="776" t="str">
        <f t="shared" si="27"/>
        <v/>
      </c>
      <c r="AL8" s="802" t="str">
        <f t="shared" si="28"/>
        <v/>
      </c>
      <c r="AM8" s="747" t="str">
        <f t="shared" si="29"/>
        <v/>
      </c>
      <c r="AN8" s="771" t="str">
        <f t="shared" si="30"/>
        <v/>
      </c>
      <c r="AO8" s="771" t="str">
        <f t="shared" si="31"/>
        <v/>
      </c>
      <c r="AP8" s="808" t="str">
        <f t="shared" si="32"/>
        <v/>
      </c>
      <c r="AQ8" s="819" t="str">
        <f t="shared" si="33"/>
        <v/>
      </c>
      <c r="AR8" s="771" t="str">
        <f t="shared" si="34"/>
        <v/>
      </c>
      <c r="AS8" s="771" t="str">
        <f t="shared" si="35"/>
        <v/>
      </c>
      <c r="AT8" s="771" t="str">
        <f t="shared" si="36"/>
        <v/>
      </c>
      <c r="AU8" s="808" t="str">
        <f t="shared" si="37"/>
        <v/>
      </c>
      <c r="AV8" s="842" t="str">
        <f t="shared" si="38"/>
        <v/>
      </c>
      <c r="AW8" s="771" t="str">
        <f t="shared" si="39"/>
        <v/>
      </c>
      <c r="AX8" s="771" t="str">
        <f t="shared" si="40"/>
        <v/>
      </c>
      <c r="AY8" s="771" t="str">
        <f t="shared" si="41"/>
        <v/>
      </c>
      <c r="AZ8" s="831" t="str">
        <f t="shared" si="42"/>
        <v/>
      </c>
      <c r="BA8" s="835" t="str">
        <f t="shared" si="43"/>
        <v/>
      </c>
      <c r="BB8" s="772"/>
      <c r="BC8" s="275" t="str">
        <f t="shared" si="44"/>
        <v/>
      </c>
      <c r="BD8" s="275" t="str">
        <f t="shared" si="45"/>
        <v/>
      </c>
      <c r="BE8" s="886" t="str">
        <f t="shared" si="46"/>
        <v/>
      </c>
      <c r="BF8" s="873" t="str" cm="1">
        <f t="array" ref="BF8">IF($AE8="","",
_xlfn.IFS(
$BA8="Devis 1",
IF(ISBLANK(AN8),"",IFERROR(VALUE(TRIM(SUBSTITUTE(AN8,CHAR(160),""))),0)*IFERROR(VALUE(TRIM(SUBSTITUTE($AE8,CHAR(160),""))),0)),
$BA8="Devis 2",
IF(ISBLANK(AS8),"",IFERROR(VALUE(TRIM(SUBSTITUTE(AS8,CHAR(160),""))),0)*IFERROR(VALUE(TRIM(SUBSTITUTE($AE8,CHAR(160),""))),0)),
$BA8="Devis 3",
IF(ISBLANK(AX8),"",IFERROR(VALUE(TRIM(SUBSTITUTE(AX8,CHAR(160),""))),0)*IFERROR(VALUE(TRIM(SUBSTITUTE($AE8,CHAR(160),""))),0)),
TRUE,0
)
)</f>
        <v/>
      </c>
      <c r="BG8" s="873" t="str" cm="1">
        <f t="array" ref="BG8">IF($AE8="","",
_xlfn.IFS(
$BA8="Devis 1",
IF(ISBLANK(AO8),"",IFERROR(VALUE(TRIM(SUBSTITUTE(AO8,CHAR(160),""))),0)*IFERROR(VALUE(TRIM(SUBSTITUTE($AE8,CHAR(160),""))),0)),
$BA8="Devis 2",
IF(ISBLANK(AT8),"",IFERROR(VALUE(TRIM(SUBSTITUTE(AT8,CHAR(160),""))),0)*IFERROR(VALUE(TRIM(SUBSTITUTE($AE8,CHAR(160),""))),0)),
$BA8="Devis 3",
IF(ISBLANK(AY8),"",IFERROR(VALUE(TRIM(SUBSTITUTE(AY8,CHAR(160),""))),0)*IFERROR(VALUE(TRIM(SUBSTITUTE($AE8,CHAR(160),""))),0)),
TRUE,0
)
)</f>
        <v/>
      </c>
      <c r="BH8" s="874" t="str">
        <f t="shared" si="47"/>
        <v/>
      </c>
      <c r="BI8" s="866"/>
      <c r="BJ8" s="774" t="str" cm="1">
        <f t="array" ref="BJ8">IF(OR(BH8="",BE8="",BF8="",BC8="",BG8="",BD8=""),"",_xlfn.IFS(
ROUND(IFERROR(VALUE(TRIM(SUBSTITUTE(BH8,CHAR(160),""))),0),2)&gt;
ROUND(IFERROR(VALUE(TRIM(SUBSTITUTE(BE8,CHAR(160),""))),0),2),
"KO : Le montant retenu TTC est supérieur au montant raisonnable TTC. Merci de revoir la ligne de dépense ou plafonner son montant.",
ROUND(IFERROR(VALUE(TRIM(SUBSTITUTE(BF8,CHAR(160),""))),0),2)&gt;
ROUND(IFERROR(VALUE(TRIM(SUBSTITUTE(BC8,CHAR(160),""))),0),2),
"Attention : Le montant retenu HT est supérieur au montant HT raisonnable. Merci de revoir la ligne de dépense, plafonner son montant, ou justifier la reventillation HT / TVA.",
ROUND(IFERROR(VALUE(TRIM(SUBSTITUTE(BG8,CHAR(160),""))),0),2)&gt;
ROUND(IFERROR(VALUE(TRIM(SUBSTITUTE(BD8,CHAR(160),""))),0),2),
"Attention : Le montant TVA retenu est supérieur au montant TVA raisonnable. Merci de revoir la ligne de dépense, plafonner son montant, ou justifier la reventillation HT / TVA.",
ROUND(IFERROR(VALUE(TRIM(SUBSTITUTE(BH8,CHAR(160),""))),0),2)&gt;
ROUND(IFERROR(VALUE(TRIM(SUBSTITUTE(MIN(N8,S8,X8),CHAR(160),""))),0),2),
"Attention : Le devis retenu n'est pas le moins cher. Une justification de la part du porteur est nécessaire.",
ROUND(IFERROR(VALUE(TRIM(SUBSTITUTE(BH8,CHAR(160),""))),0),2)=0,
"Attention : montant présenté entièrement écarté",
ROUND(IFERROR(VALUE(TRIM(SUBSTITUTE(BE8,CHAR(160),""))),0),2)=
ROUND(IFERROR(VALUE(TRIM(SUBSTITUTE(BH8,CHAR(160),""))),0),2),
"OK",
ROUND(IFERROR(VALUE(TRIM(SUBSTITUTE(BE8,CHAR(160),""))),0),2)&gt;
ROUND(IFERROR(VALUE(TRIM(SUBSTITUTE(BH8,CHAR(160),""))),0),2),
" OK : Montant instruit inférieur au montant raisonnable.",
TRUE,""
))</f>
        <v/>
      </c>
      <c r="BK8" s="774" t="str" cm="1">
        <f t="array" ref="BK8">IF(OR(BH8="",AB8="",BF8="",Z8="",BG8="",AA8=""),"",_xlfn.IFS(
ROUND(IFERROR(VALUE(TRIM(SUBSTITUTE(BH8,CHAR(160),""))),0),2)&gt;
ROUND(IFERROR(VALUE(TRIM(SUBSTITUTE(AB8,CHAR(160),""))),0),2),
"KO : Le montant retenu TTC est supérieur au montant présenté TTC. Merci de revoir la ligne de dépense ou plafonner son montant.",
ROUND(IFERROR(VALUE(TRIM(SUBSTITUTE(BF8,CHAR(160),""))),0),2)&gt;
ROUND(IFERROR(VALUE(TRIM(SUBSTITUTE(Z8,CHAR(160),""))),0),2),
"Attention : Le montant retenu HT est supérieur au montant HT présenté. Merci de revoir la ligne de dépense, plafonner son montant, ou justifier la reventillation HT / TVA.",
ROUND(IFERROR(VALUE(TRIM(SUBSTITUTE(BG8,CHAR(160),""))),0),2)&gt;
ROUND(IFERROR(VALUE(TRIM(SUBSTITUTE(AA8,CHAR(160),""))),0),2),
"Attention : Le montant TVA retenu est supérieur au montant TVA présenté. Merci de revoir la ligne de dépense, plafonner son montant, ou justifier la reventillation HT / TVA.",
ROUND(IFERROR(VALUE(TRIM(SUBSTITUTE(AB8,CHAR(160),""))),0),2)=0,
"",
ROUND(IFERROR(VALUE(TRIM(SUBSTITUTE(BH8,CHAR(160),""))),0),2)=
ROUND(IFERROR(VALUE(TRIM(SUBSTITUTE(AB8,CHAR(160),""))),0),2),
"OK",
ROUND(IFERROR(VALUE(TRIM(SUBSTITUTE(BH8,CHAR(160),""))),0),2)=0,
"Attention : Montant présenté entièrement rejeté.",
ROUND(IFERROR(VALUE(TRIM(SUBSTITUTE(BH8,CHAR(160),""))),0),2)&lt;
ROUND(IFERROR(VALUE(TRIM(SUBSTITUTE(AB8,CHAR(160),""))),0),2),
"Attention : Montant présenté partiellement rejeté.",
TRUE,""
))</f>
        <v/>
      </c>
      <c r="BL8" s="773" t="str">
        <f t="shared" si="48"/>
        <v/>
      </c>
      <c r="BM8" s="773" t="str">
        <f t="shared" si="49"/>
        <v/>
      </c>
      <c r="BN8" s="773" t="str">
        <f t="shared" si="50"/>
        <v/>
      </c>
    </row>
    <row r="9" spans="1:66" ht="15" customHeight="1">
      <c r="A9" s="193">
        <v>5</v>
      </c>
      <c r="B9" s="7"/>
      <c r="C9" s="9"/>
      <c r="D9" s="30"/>
      <c r="E9" s="36"/>
      <c r="F9" s="34"/>
      <c r="G9" s="35"/>
      <c r="H9" s="685"/>
      <c r="I9" s="786"/>
      <c r="J9" s="792"/>
      <c r="K9" s="758"/>
      <c r="L9" s="761"/>
      <c r="M9" s="762"/>
      <c r="N9" s="808" t="str">
        <f t="shared" si="21"/>
        <v/>
      </c>
      <c r="O9" s="846"/>
      <c r="P9" s="847"/>
      <c r="Q9" s="762"/>
      <c r="R9" s="762"/>
      <c r="S9" s="808" t="str">
        <f t="shared" si="22"/>
        <v/>
      </c>
      <c r="T9" s="850"/>
      <c r="U9" s="847"/>
      <c r="V9" s="762"/>
      <c r="W9" s="762"/>
      <c r="X9" s="830" t="str">
        <f>IF(OR(V9="", W9=""), "", IFERROR(VALUE(TRIM(SUBSTITUTE(V9,CHAR(160),""))),0) + IFERROR(VALUE(TRIM(SUBSTITUTE(W9,CHAR(160),""))),0))</f>
        <v/>
      </c>
      <c r="Y9" s="246"/>
      <c r="Z9" s="284" t="str" cm="1">
        <f t="array" ref="Z9">IF((_xlfn.IFS(TRIM(SUBSTITUTE(Y9,CHAR(160),""))="Devis 1",IFERROR(VALUE(TRIM(SUBSTITUTE(L9,CHAR(160),""))),0),TRIM(SUBSTITUTE(Y9,CHAR(160),""))="Devis 2",IFERROR(VALUE(TRIM(SUBSTITUTE(Q9,CHAR(160),""))),0),TRIM(SUBSTITUTE(Y9,CHAR(160),""))="Devis 3",IFERROR(VALUE(TRIM(SUBSTITUTE(V9,CHAR(160),""))),0),TRUE,0)*IFERROR(VALUE(TRIM(SUBSTITUTE(C9,CHAR(160),""))),0))=0,"",_xlfn.IFS(TRIM(SUBSTITUTE(Y9,CHAR(160),""))="Devis 1",IFERROR(VALUE(TRIM(SUBSTITUTE(L9,CHAR(160),""))),0),TRIM(SUBSTITUTE(Y9,CHAR(160),""))="Devis 2",IFERROR(VALUE(TRIM(SUBSTITUTE(Q9,CHAR(160),""))),0),TRIM(SUBSTITUTE(Y9,CHAR(160),""))="Devis 3",IFERROR(VALUE(TRIM(SUBSTITUTE(V9,CHAR(160),""))),0),TRUE,0)*IFERROR(VALUE(TRIM(SUBSTITUTE(C9,CHAR(160),""))),0))</f>
        <v/>
      </c>
      <c r="AA9" s="275" t="str" cm="1">
        <f t="array" ref="AA9">IF((_xlfn.IFS(TRIM(SUBSTITUTE(Y9,CHAR(160),""))="Devis 1",IFERROR(VALUE(TRIM(SUBSTITUTE(M9,CHAR(160),""))),0),TRIM(SUBSTITUTE(Y9,CHAR(160),""))="Devis 2",IFERROR(VALUE(TRIM(SUBSTITUTE(R9,CHAR(160),""))),0),TRIM(SUBSTITUTE(Y9,CHAR(160),""))="Devis 3",IFERROR(VALUE(TRIM(SUBSTITUTE(W9,CHAR(160),""))),0),TRUE,0)*IFERROR(VALUE(TRIM(SUBSTITUTE(C9,CHAR(160),""))),0))=0,IF(Z9&lt;&gt;"",0,""),_xlfn.IFS(TRIM(SUBSTITUTE(Y9,CHAR(160),""))="Devis 1",IFERROR(VALUE(TRIM(SUBSTITUTE(M9,CHAR(160),""))),0),TRIM(SUBSTITUTE(Y9,CHAR(160),""))="Devis 2",IFERROR(VALUE(TRIM(SUBSTITUTE(R9,CHAR(160),""))),0),TRIM(SUBSTITUTE(Y9,CHAR(160),""))="Devis 3",IFERROR(VALUE(TRIM(SUBSTITUTE(W9,CHAR(160),""))),0),TRUE,0)*IFERROR(VALUE(TRIM(SUBSTITUTE(C9,CHAR(160),""))),0))</f>
        <v/>
      </c>
      <c r="AB9" s="285" t="str">
        <f t="shared" si="24"/>
        <v/>
      </c>
      <c r="AC9" s="209"/>
      <c r="AD9" s="747" t="str">
        <f t="shared" si="0"/>
        <v/>
      </c>
      <c r="AE9" s="747" t="str">
        <f t="shared" si="1"/>
        <v/>
      </c>
      <c r="AF9" s="747" t="str">
        <f t="shared" si="2"/>
        <v/>
      </c>
      <c r="AG9" s="747" t="str">
        <f t="shared" si="3"/>
        <v/>
      </c>
      <c r="AH9" s="747" t="str">
        <f t="shared" si="4"/>
        <v/>
      </c>
      <c r="AI9" s="747" t="str">
        <f t="shared" si="25"/>
        <v/>
      </c>
      <c r="AJ9" s="776" t="str">
        <f t="shared" si="26"/>
        <v/>
      </c>
      <c r="AK9" s="776" t="str">
        <f t="shared" si="27"/>
        <v/>
      </c>
      <c r="AL9" s="802" t="str">
        <f t="shared" si="28"/>
        <v/>
      </c>
      <c r="AM9" s="747" t="str">
        <f t="shared" si="29"/>
        <v/>
      </c>
      <c r="AN9" s="771" t="str">
        <f t="shared" si="30"/>
        <v/>
      </c>
      <c r="AO9" s="771" t="str">
        <f t="shared" si="31"/>
        <v/>
      </c>
      <c r="AP9" s="808" t="str">
        <f t="shared" si="32"/>
        <v/>
      </c>
      <c r="AQ9" s="819" t="str">
        <f t="shared" si="33"/>
        <v/>
      </c>
      <c r="AR9" s="771" t="str">
        <f t="shared" si="34"/>
        <v/>
      </c>
      <c r="AS9" s="771" t="str">
        <f t="shared" si="35"/>
        <v/>
      </c>
      <c r="AT9" s="771" t="str">
        <f t="shared" si="36"/>
        <v/>
      </c>
      <c r="AU9" s="808" t="str">
        <f t="shared" si="37"/>
        <v/>
      </c>
      <c r="AV9" s="842" t="str">
        <f t="shared" si="38"/>
        <v/>
      </c>
      <c r="AW9" s="771" t="str">
        <f t="shared" si="39"/>
        <v/>
      </c>
      <c r="AX9" s="771" t="str">
        <f t="shared" si="40"/>
        <v/>
      </c>
      <c r="AY9" s="771" t="str">
        <f t="shared" si="41"/>
        <v/>
      </c>
      <c r="AZ9" s="831" t="str">
        <f t="shared" si="42"/>
        <v/>
      </c>
      <c r="BA9" s="835" t="str">
        <f t="shared" si="43"/>
        <v/>
      </c>
      <c r="BB9" s="772"/>
      <c r="BC9" s="275" t="str">
        <f t="shared" si="44"/>
        <v/>
      </c>
      <c r="BD9" s="275" t="str">
        <f t="shared" si="45"/>
        <v/>
      </c>
      <c r="BE9" s="886" t="str">
        <f t="shared" si="46"/>
        <v/>
      </c>
      <c r="BF9" s="873" t="str" cm="1">
        <f t="array" ref="BF9">IF($AE9="","",
_xlfn.IFS(
$BA9="Devis 1",
IF(ISBLANK(AN9),"",IFERROR(VALUE(TRIM(SUBSTITUTE(AN9,CHAR(160),""))),0)*IFERROR(VALUE(TRIM(SUBSTITUTE($AE9,CHAR(160),""))),0)),
$BA9="Devis 2",
IF(ISBLANK(AS9),"",IFERROR(VALUE(TRIM(SUBSTITUTE(AS9,CHAR(160),""))),0)*IFERROR(VALUE(TRIM(SUBSTITUTE($AE9,CHAR(160),""))),0)),
$BA9="Devis 3",
IF(ISBLANK(AX9),"",IFERROR(VALUE(TRIM(SUBSTITUTE(AX9,CHAR(160),""))),0)*IFERROR(VALUE(TRIM(SUBSTITUTE($AE9,CHAR(160),""))),0)),
TRUE,0
)
)</f>
        <v/>
      </c>
      <c r="BG9" s="873" t="str" cm="1">
        <f t="array" ref="BG9">IF($AE9="","",
_xlfn.IFS(
$BA9="Devis 1",
IF(ISBLANK(AO9),"",IFERROR(VALUE(TRIM(SUBSTITUTE(AO9,CHAR(160),""))),0)*IFERROR(VALUE(TRIM(SUBSTITUTE($AE9,CHAR(160),""))),0)),
$BA9="Devis 2",
IF(ISBLANK(AT9),"",IFERROR(VALUE(TRIM(SUBSTITUTE(AT9,CHAR(160),""))),0)*IFERROR(VALUE(TRIM(SUBSTITUTE($AE9,CHAR(160),""))),0)),
$BA9="Devis 3",
IF(ISBLANK(AY9),"",IFERROR(VALUE(TRIM(SUBSTITUTE(AY9,CHAR(160),""))),0)*IFERROR(VALUE(TRIM(SUBSTITUTE($AE9,CHAR(160),""))),0)),
TRUE,0
)
)</f>
        <v/>
      </c>
      <c r="BH9" s="874" t="str">
        <f t="shared" si="47"/>
        <v/>
      </c>
      <c r="BI9" s="866"/>
      <c r="BJ9" s="774" t="str" cm="1">
        <f t="array" ref="BJ9">IF(OR(BH9="",BE9="",BF9="",BC9="",BG9="",BD9=""),"",_xlfn.IFS(
ROUND(IFERROR(VALUE(TRIM(SUBSTITUTE(BH9,CHAR(160),""))),0),2)&gt;
ROUND(IFERROR(VALUE(TRIM(SUBSTITUTE(BE9,CHAR(160),""))),0),2),
"KO : Le montant retenu TTC est supérieur au montant raisonnable TTC. Merci de revoir la ligne de dépense ou plafonner son montant.",
ROUND(IFERROR(VALUE(TRIM(SUBSTITUTE(BF9,CHAR(160),""))),0),2)&gt;
ROUND(IFERROR(VALUE(TRIM(SUBSTITUTE(BC9,CHAR(160),""))),0),2),
"Attention : Le montant retenu HT est supérieur au montant HT raisonnable. Merci de revoir la ligne de dépense, plafonner son montant, ou justifier la reventillation HT / TVA.",
ROUND(IFERROR(VALUE(TRIM(SUBSTITUTE(BG9,CHAR(160),""))),0),2)&gt;
ROUND(IFERROR(VALUE(TRIM(SUBSTITUTE(BD9,CHAR(160),""))),0),2),
"Attention : Le montant TVA retenu est supérieur au montant TVA raisonnable. Merci de revoir la ligne de dépense, plafonner son montant, ou justifier la reventillation HT / TVA.",
ROUND(IFERROR(VALUE(TRIM(SUBSTITUTE(BH9,CHAR(160),""))),0),2)&gt;
ROUND(IFERROR(VALUE(TRIM(SUBSTITUTE(MIN(N9,S9,X9),CHAR(160),""))),0),2),
"Attention : Le devis retenu n'est pas le moins cher. Une justification de la part du porteur est nécessaire.",
ROUND(IFERROR(VALUE(TRIM(SUBSTITUTE(BH9,CHAR(160),""))),0),2)=0,
"Attention : montant présenté entièrement écarté",
ROUND(IFERROR(VALUE(TRIM(SUBSTITUTE(BE9,CHAR(160),""))),0),2)=
ROUND(IFERROR(VALUE(TRIM(SUBSTITUTE(BH9,CHAR(160),""))),0),2),
"OK",
ROUND(IFERROR(VALUE(TRIM(SUBSTITUTE(BE9,CHAR(160),""))),0),2)&gt;
ROUND(IFERROR(VALUE(TRIM(SUBSTITUTE(BH9,CHAR(160),""))),0),2),
" OK : Montant instruit inférieur au montant raisonnable.",
TRUE,""
))</f>
        <v/>
      </c>
      <c r="BK9" s="774" t="str" cm="1">
        <f t="array" ref="BK9">IF(OR(BH9="",AB9="",BF9="",Z9="",BG9="",AA9=""),"",_xlfn.IFS(
ROUND(IFERROR(VALUE(TRIM(SUBSTITUTE(BH9,CHAR(160),""))),0),2)&gt;
ROUND(IFERROR(VALUE(TRIM(SUBSTITUTE(AB9,CHAR(160),""))),0),2),
"KO : Le montant retenu TTC est supérieur au montant présenté TTC. Merci de revoir la ligne de dépense ou plafonner son montant.",
ROUND(IFERROR(VALUE(TRIM(SUBSTITUTE(BF9,CHAR(160),""))),0),2)&gt;
ROUND(IFERROR(VALUE(TRIM(SUBSTITUTE(Z9,CHAR(160),""))),0),2),
"Attention : Le montant retenu HT est supérieur au montant HT présenté. Merci de revoir la ligne de dépense, plafonner son montant, ou justifier la reventillation HT / TVA.",
ROUND(IFERROR(VALUE(TRIM(SUBSTITUTE(BG9,CHAR(160),""))),0),2)&gt;
ROUND(IFERROR(VALUE(TRIM(SUBSTITUTE(AA9,CHAR(160),""))),0),2),
"Attention : Le montant TVA retenu est supérieur au montant TVA présenté. Merci de revoir la ligne de dépense, plafonner son montant, ou justifier la reventillation HT / TVA.",
ROUND(IFERROR(VALUE(TRIM(SUBSTITUTE(AB9,CHAR(160),""))),0),2)=0,
"",
ROUND(IFERROR(VALUE(TRIM(SUBSTITUTE(BH9,CHAR(160),""))),0),2)=
ROUND(IFERROR(VALUE(TRIM(SUBSTITUTE(AB9,CHAR(160),""))),0),2),
"OK",
ROUND(IFERROR(VALUE(TRIM(SUBSTITUTE(BH9,CHAR(160),""))),0),2)=0,
"Attention : Montant présenté entièrement rejeté.",
ROUND(IFERROR(VALUE(TRIM(SUBSTITUTE(BH9,CHAR(160),""))),0),2)&lt;
ROUND(IFERROR(VALUE(TRIM(SUBSTITUTE(AB9,CHAR(160),""))),0),2),
"Attention : Montant présenté partiellement rejeté.",
TRUE,""
))</f>
        <v/>
      </c>
      <c r="BL9" s="773" t="str">
        <f t="shared" si="48"/>
        <v/>
      </c>
      <c r="BM9" s="773" t="str">
        <f t="shared" si="49"/>
        <v/>
      </c>
      <c r="BN9" s="773" t="str">
        <f t="shared" si="50"/>
        <v/>
      </c>
    </row>
    <row r="10" spans="1:66" ht="15" customHeight="1">
      <c r="A10" s="193">
        <v>6</v>
      </c>
      <c r="B10" s="7"/>
      <c r="C10" s="9"/>
      <c r="D10" s="30"/>
      <c r="E10" s="36"/>
      <c r="F10" s="34"/>
      <c r="G10" s="35"/>
      <c r="H10" s="685"/>
      <c r="I10" s="786"/>
      <c r="J10" s="792"/>
      <c r="K10" s="758"/>
      <c r="L10" s="761"/>
      <c r="M10" s="762"/>
      <c r="N10" s="808" t="str">
        <f t="shared" si="21"/>
        <v/>
      </c>
      <c r="O10" s="846"/>
      <c r="P10" s="847"/>
      <c r="Q10" s="762"/>
      <c r="R10" s="762"/>
      <c r="S10" s="808" t="str">
        <f t="shared" si="22"/>
        <v/>
      </c>
      <c r="T10" s="850"/>
      <c r="U10" s="847"/>
      <c r="V10" s="762"/>
      <c r="W10" s="762"/>
      <c r="X10" s="830" t="str">
        <f t="shared" si="23"/>
        <v/>
      </c>
      <c r="Y10" s="246"/>
      <c r="Z10" s="284" t="str" cm="1">
        <f t="array" ref="Z10">IF((_xlfn.IFS(TRIM(SUBSTITUTE(Y10,CHAR(160),""))="Devis 1",IFERROR(VALUE(TRIM(SUBSTITUTE(L10,CHAR(160),""))),0),TRIM(SUBSTITUTE(Y10,CHAR(160),""))="Devis 2",IFERROR(VALUE(TRIM(SUBSTITUTE(Q10,CHAR(160),""))),0),TRIM(SUBSTITUTE(Y10,CHAR(160),""))="Devis 3",IFERROR(VALUE(TRIM(SUBSTITUTE(V10,CHAR(160),""))),0),TRUE,0)*IFERROR(VALUE(TRIM(SUBSTITUTE(C10,CHAR(160),""))),0))=0,"",_xlfn.IFS(TRIM(SUBSTITUTE(Y10,CHAR(160),""))="Devis 1",IFERROR(VALUE(TRIM(SUBSTITUTE(L10,CHAR(160),""))),0),TRIM(SUBSTITUTE(Y10,CHAR(160),""))="Devis 2",IFERROR(VALUE(TRIM(SUBSTITUTE(Q10,CHAR(160),""))),0),TRIM(SUBSTITUTE(Y10,CHAR(160),""))="Devis 3",IFERROR(VALUE(TRIM(SUBSTITUTE(V10,CHAR(160),""))),0),TRUE,0)*IFERROR(VALUE(TRIM(SUBSTITUTE(C10,CHAR(160),""))),0))</f>
        <v/>
      </c>
      <c r="AA10" s="275" t="str" cm="1">
        <f t="array" ref="AA10">IF((_xlfn.IFS(TRIM(SUBSTITUTE(Y10,CHAR(160),""))="Devis 1",IFERROR(VALUE(TRIM(SUBSTITUTE(M10,CHAR(160),""))),0),TRIM(SUBSTITUTE(Y10,CHAR(160),""))="Devis 2",IFERROR(VALUE(TRIM(SUBSTITUTE(R10,CHAR(160),""))),0),TRIM(SUBSTITUTE(Y10,CHAR(160),""))="Devis 3",IFERROR(VALUE(TRIM(SUBSTITUTE(W10,CHAR(160),""))),0),TRUE,0)*IFERROR(VALUE(TRIM(SUBSTITUTE(C10,CHAR(160),""))),0))=0,IF(Z10&lt;&gt;"",0,""),_xlfn.IFS(TRIM(SUBSTITUTE(Y10,CHAR(160),""))="Devis 1",IFERROR(VALUE(TRIM(SUBSTITUTE(M10,CHAR(160),""))),0),TRIM(SUBSTITUTE(Y10,CHAR(160),""))="Devis 2",IFERROR(VALUE(TRIM(SUBSTITUTE(R10,CHAR(160),""))),0),TRIM(SUBSTITUTE(Y10,CHAR(160),""))="Devis 3",IFERROR(VALUE(TRIM(SUBSTITUTE(W10,CHAR(160),""))),0),TRUE,0)*IFERROR(VALUE(TRIM(SUBSTITUTE(C10,CHAR(160),""))),0))</f>
        <v/>
      </c>
      <c r="AB10" s="285" t="str">
        <f t="shared" si="24"/>
        <v/>
      </c>
      <c r="AC10" s="209"/>
      <c r="AD10" s="747" t="str">
        <f t="shared" si="0"/>
        <v/>
      </c>
      <c r="AE10" s="747" t="str">
        <f t="shared" si="1"/>
        <v/>
      </c>
      <c r="AF10" s="747" t="str">
        <f t="shared" si="2"/>
        <v/>
      </c>
      <c r="AG10" s="747" t="str">
        <f t="shared" si="3"/>
        <v/>
      </c>
      <c r="AH10" s="747" t="str">
        <f t="shared" si="4"/>
        <v/>
      </c>
      <c r="AI10" s="747" t="str">
        <f t="shared" si="25"/>
        <v/>
      </c>
      <c r="AJ10" s="776" t="str">
        <f t="shared" si="26"/>
        <v/>
      </c>
      <c r="AK10" s="776" t="str">
        <f t="shared" si="27"/>
        <v/>
      </c>
      <c r="AL10" s="802" t="str">
        <f t="shared" si="28"/>
        <v/>
      </c>
      <c r="AM10" s="747" t="str">
        <f t="shared" si="29"/>
        <v/>
      </c>
      <c r="AN10" s="771" t="str">
        <f t="shared" si="30"/>
        <v/>
      </c>
      <c r="AO10" s="771" t="str">
        <f t="shared" si="31"/>
        <v/>
      </c>
      <c r="AP10" s="808" t="str">
        <f t="shared" si="32"/>
        <v/>
      </c>
      <c r="AQ10" s="819" t="str">
        <f t="shared" si="33"/>
        <v/>
      </c>
      <c r="AR10" s="771" t="str">
        <f t="shared" si="34"/>
        <v/>
      </c>
      <c r="AS10" s="771" t="str">
        <f t="shared" si="35"/>
        <v/>
      </c>
      <c r="AT10" s="771" t="str">
        <f t="shared" si="36"/>
        <v/>
      </c>
      <c r="AU10" s="808" t="str">
        <f t="shared" si="37"/>
        <v/>
      </c>
      <c r="AV10" s="842" t="str">
        <f t="shared" si="38"/>
        <v/>
      </c>
      <c r="AW10" s="771" t="str">
        <f t="shared" si="39"/>
        <v/>
      </c>
      <c r="AX10" s="771" t="str">
        <f t="shared" si="40"/>
        <v/>
      </c>
      <c r="AY10" s="771" t="str">
        <f t="shared" si="41"/>
        <v/>
      </c>
      <c r="AZ10" s="831" t="str">
        <f t="shared" si="42"/>
        <v/>
      </c>
      <c r="BA10" s="835" t="str">
        <f t="shared" si="43"/>
        <v/>
      </c>
      <c r="BB10" s="772"/>
      <c r="BC10" s="275" t="str">
        <f t="shared" si="44"/>
        <v/>
      </c>
      <c r="BD10" s="275" t="str">
        <f t="shared" si="45"/>
        <v/>
      </c>
      <c r="BE10" s="886" t="str">
        <f t="shared" si="46"/>
        <v/>
      </c>
      <c r="BF10" s="873" t="str" cm="1">
        <f t="array" ref="BF10">IF($AE10="","",
_xlfn.IFS(
$BA10="Devis 1",
IF(ISBLANK(AN10),"",IFERROR(VALUE(TRIM(SUBSTITUTE(AN10,CHAR(160),""))),0)*IFERROR(VALUE(TRIM(SUBSTITUTE($AE10,CHAR(160),""))),0)),
$BA10="Devis 2",
IF(ISBLANK(AS10),"",IFERROR(VALUE(TRIM(SUBSTITUTE(AS10,CHAR(160),""))),0)*IFERROR(VALUE(TRIM(SUBSTITUTE($AE10,CHAR(160),""))),0)),
$BA10="Devis 3",
IF(ISBLANK(AX10),"",IFERROR(VALUE(TRIM(SUBSTITUTE(AX10,CHAR(160),""))),0)*IFERROR(VALUE(TRIM(SUBSTITUTE($AE10,CHAR(160),""))),0)),
TRUE,0
)
)</f>
        <v/>
      </c>
      <c r="BG10" s="873" t="str" cm="1">
        <f t="array" ref="BG10">IF($AE10="","",
_xlfn.IFS(
$BA10="Devis 1",
IF(ISBLANK(AO10),"",IFERROR(VALUE(TRIM(SUBSTITUTE(AO10,CHAR(160),""))),0)*IFERROR(VALUE(TRIM(SUBSTITUTE($AE10,CHAR(160),""))),0)),
$BA10="Devis 2",
IF(ISBLANK(AT10),"",IFERROR(VALUE(TRIM(SUBSTITUTE(AT10,CHAR(160),""))),0)*IFERROR(VALUE(TRIM(SUBSTITUTE($AE10,CHAR(160),""))),0)),
$BA10="Devis 3",
IF(ISBLANK(AY10),"",IFERROR(VALUE(TRIM(SUBSTITUTE(AY10,CHAR(160),""))),0)*IFERROR(VALUE(TRIM(SUBSTITUTE($AE10,CHAR(160),""))),0)),
TRUE,0
)
)</f>
        <v/>
      </c>
      <c r="BH10" s="874" t="str">
        <f t="shared" si="47"/>
        <v/>
      </c>
      <c r="BI10" s="866"/>
      <c r="BJ10" s="774" t="str" cm="1">
        <f t="array" ref="BJ10">IF(OR(BH10="",BE10="",BF10="",BC10="",BG10="",BD10=""),"",_xlfn.IFS(
ROUND(IFERROR(VALUE(TRIM(SUBSTITUTE(BH10,CHAR(160),""))),0),2)&gt;
ROUND(IFERROR(VALUE(TRIM(SUBSTITUTE(BE10,CHAR(160),""))),0),2),
"KO : Le montant retenu TTC est supérieur au montant raisonnable TTC. Merci de revoir la ligne de dépense ou plafonner son montant.",
ROUND(IFERROR(VALUE(TRIM(SUBSTITUTE(BF10,CHAR(160),""))),0),2)&gt;
ROUND(IFERROR(VALUE(TRIM(SUBSTITUTE(BC10,CHAR(160),""))),0),2),
"Attention : Le montant retenu HT est supérieur au montant HT raisonnable. Merci de revoir la ligne de dépense, plafonner son montant, ou justifier la reventillation HT / TVA.",
ROUND(IFERROR(VALUE(TRIM(SUBSTITUTE(BG10,CHAR(160),""))),0),2)&gt;
ROUND(IFERROR(VALUE(TRIM(SUBSTITUTE(BD10,CHAR(160),""))),0),2),
"Attention : Le montant TVA retenu est supérieur au montant TVA raisonnable. Merci de revoir la ligne de dépense, plafonner son montant, ou justifier la reventillation HT / TVA.",
ROUND(IFERROR(VALUE(TRIM(SUBSTITUTE(BH10,CHAR(160),""))),0),2)&gt;
ROUND(IFERROR(VALUE(TRIM(SUBSTITUTE(MIN(N10,S10,X10),CHAR(160),""))),0),2),
"Attention : Le devis retenu n'est pas le moins cher. Une justification de la part du porteur est nécessaire.",
ROUND(IFERROR(VALUE(TRIM(SUBSTITUTE(BH10,CHAR(160),""))),0),2)=0,
"Attention : montant présenté entièrement écarté",
ROUND(IFERROR(VALUE(TRIM(SUBSTITUTE(BE10,CHAR(160),""))),0),2)=
ROUND(IFERROR(VALUE(TRIM(SUBSTITUTE(BH10,CHAR(160),""))),0),2),
"OK",
ROUND(IFERROR(VALUE(TRIM(SUBSTITUTE(BE10,CHAR(160),""))),0),2)&gt;
ROUND(IFERROR(VALUE(TRIM(SUBSTITUTE(BH10,CHAR(160),""))),0),2),
" OK : Montant instruit inférieur au montant raisonnable.",
TRUE,""
))</f>
        <v/>
      </c>
      <c r="BK10" s="774" t="str" cm="1">
        <f t="array" ref="BK10">IF(OR(BH10="",AB10="",BF10="",Z10="",BG10="",AA10=""),"",_xlfn.IFS(
ROUND(IFERROR(VALUE(TRIM(SUBSTITUTE(BH10,CHAR(160),""))),0),2)&gt;
ROUND(IFERROR(VALUE(TRIM(SUBSTITUTE(AB10,CHAR(160),""))),0),2),
"KO : Le montant retenu TTC est supérieur au montant présenté TTC. Merci de revoir la ligne de dépense ou plafonner son montant.",
ROUND(IFERROR(VALUE(TRIM(SUBSTITUTE(BF10,CHAR(160),""))),0),2)&gt;
ROUND(IFERROR(VALUE(TRIM(SUBSTITUTE(Z10,CHAR(160),""))),0),2),
"Attention : Le montant retenu HT est supérieur au montant HT présenté. Merci de revoir la ligne de dépense, plafonner son montant, ou justifier la reventillation HT / TVA.",
ROUND(IFERROR(VALUE(TRIM(SUBSTITUTE(BG10,CHAR(160),""))),0),2)&gt;
ROUND(IFERROR(VALUE(TRIM(SUBSTITUTE(AA10,CHAR(160),""))),0),2),
"Attention : Le montant TVA retenu est supérieur au montant TVA présenté. Merci de revoir la ligne de dépense, plafonner son montant, ou justifier la reventillation HT / TVA.",
ROUND(IFERROR(VALUE(TRIM(SUBSTITUTE(AB10,CHAR(160),""))),0),2)=0,
"",
ROUND(IFERROR(VALUE(TRIM(SUBSTITUTE(BH10,CHAR(160),""))),0),2)=
ROUND(IFERROR(VALUE(TRIM(SUBSTITUTE(AB10,CHAR(160),""))),0),2),
"OK",
ROUND(IFERROR(VALUE(TRIM(SUBSTITUTE(BH10,CHAR(160),""))),0),2)=0,
"Attention : Montant présenté entièrement rejeté.",
ROUND(IFERROR(VALUE(TRIM(SUBSTITUTE(BH10,CHAR(160),""))),0),2)&lt;
ROUND(IFERROR(VALUE(TRIM(SUBSTITUTE(AB10,CHAR(160),""))),0),2),
"Attention : Montant présenté partiellement rejeté.",
TRUE,""
))</f>
        <v/>
      </c>
      <c r="BL10" s="773" t="str">
        <f t="shared" si="48"/>
        <v/>
      </c>
      <c r="BM10" s="773" t="str">
        <f t="shared" si="49"/>
        <v/>
      </c>
      <c r="BN10" s="773" t="str">
        <f t="shared" si="50"/>
        <v/>
      </c>
    </row>
    <row r="11" spans="1:66" ht="15" customHeight="1">
      <c r="A11" s="193">
        <v>7</v>
      </c>
      <c r="B11" s="7"/>
      <c r="C11" s="9"/>
      <c r="D11" s="30"/>
      <c r="E11" s="36"/>
      <c r="F11" s="34"/>
      <c r="G11" s="35"/>
      <c r="H11" s="685"/>
      <c r="I11" s="786"/>
      <c r="J11" s="792"/>
      <c r="K11" s="758"/>
      <c r="L11" s="761"/>
      <c r="M11" s="762"/>
      <c r="N11" s="808" t="str">
        <f t="shared" si="21"/>
        <v/>
      </c>
      <c r="O11" s="846"/>
      <c r="P11" s="847"/>
      <c r="Q11" s="762"/>
      <c r="R11" s="762"/>
      <c r="S11" s="808" t="str">
        <f t="shared" si="22"/>
        <v/>
      </c>
      <c r="T11" s="850"/>
      <c r="U11" s="847"/>
      <c r="V11" s="762"/>
      <c r="W11" s="762"/>
      <c r="X11" s="830" t="str">
        <f t="shared" si="23"/>
        <v/>
      </c>
      <c r="Y11" s="246"/>
      <c r="Z11" s="284" t="str" cm="1">
        <f t="array" ref="Z11">IF((_xlfn.IFS(TRIM(SUBSTITUTE(Y11,CHAR(160),""))="Devis 1",IFERROR(VALUE(TRIM(SUBSTITUTE(L11,CHAR(160),""))),0),TRIM(SUBSTITUTE(Y11,CHAR(160),""))="Devis 2",IFERROR(VALUE(TRIM(SUBSTITUTE(Q11,CHAR(160),""))),0),TRIM(SUBSTITUTE(Y11,CHAR(160),""))="Devis 3",IFERROR(VALUE(TRIM(SUBSTITUTE(V11,CHAR(160),""))),0),TRUE,0)*IFERROR(VALUE(TRIM(SUBSTITUTE(C11,CHAR(160),""))),0))=0,"",_xlfn.IFS(TRIM(SUBSTITUTE(Y11,CHAR(160),""))="Devis 1",IFERROR(VALUE(TRIM(SUBSTITUTE(L11,CHAR(160),""))),0),TRIM(SUBSTITUTE(Y11,CHAR(160),""))="Devis 2",IFERROR(VALUE(TRIM(SUBSTITUTE(Q11,CHAR(160),""))),0),TRIM(SUBSTITUTE(Y11,CHAR(160),""))="Devis 3",IFERROR(VALUE(TRIM(SUBSTITUTE(V11,CHAR(160),""))),0),TRUE,0)*IFERROR(VALUE(TRIM(SUBSTITUTE(C11,CHAR(160),""))),0))</f>
        <v/>
      </c>
      <c r="AA11" s="275" t="str" cm="1">
        <f t="array" ref="AA11">IF((_xlfn.IFS(TRIM(SUBSTITUTE(Y11,CHAR(160),""))="Devis 1",IFERROR(VALUE(TRIM(SUBSTITUTE(M11,CHAR(160),""))),0),TRIM(SUBSTITUTE(Y11,CHAR(160),""))="Devis 2",IFERROR(VALUE(TRIM(SUBSTITUTE(R11,CHAR(160),""))),0),TRIM(SUBSTITUTE(Y11,CHAR(160),""))="Devis 3",IFERROR(VALUE(TRIM(SUBSTITUTE(W11,CHAR(160),""))),0),TRUE,0)*IFERROR(VALUE(TRIM(SUBSTITUTE(C11,CHAR(160),""))),0))=0,IF(Z11&lt;&gt;"",0,""),_xlfn.IFS(TRIM(SUBSTITUTE(Y11,CHAR(160),""))="Devis 1",IFERROR(VALUE(TRIM(SUBSTITUTE(M11,CHAR(160),""))),0),TRIM(SUBSTITUTE(Y11,CHAR(160),""))="Devis 2",IFERROR(VALUE(TRIM(SUBSTITUTE(R11,CHAR(160),""))),0),TRIM(SUBSTITUTE(Y11,CHAR(160),""))="Devis 3",IFERROR(VALUE(TRIM(SUBSTITUTE(W11,CHAR(160),""))),0),TRUE,0)*IFERROR(VALUE(TRIM(SUBSTITUTE(C11,CHAR(160),""))),0))</f>
        <v/>
      </c>
      <c r="AB11" s="285" t="str">
        <f t="shared" si="24"/>
        <v/>
      </c>
      <c r="AC11" s="209"/>
      <c r="AD11" s="747" t="str">
        <f t="shared" si="0"/>
        <v/>
      </c>
      <c r="AE11" s="747" t="str">
        <f t="shared" si="1"/>
        <v/>
      </c>
      <c r="AF11" s="747" t="str">
        <f t="shared" si="2"/>
        <v/>
      </c>
      <c r="AG11" s="747" t="str">
        <f t="shared" si="3"/>
        <v/>
      </c>
      <c r="AH11" s="747" t="str">
        <f t="shared" si="4"/>
        <v/>
      </c>
      <c r="AI11" s="747" t="str">
        <f t="shared" si="25"/>
        <v/>
      </c>
      <c r="AJ11" s="776" t="str">
        <f t="shared" si="26"/>
        <v/>
      </c>
      <c r="AK11" s="776" t="str">
        <f t="shared" si="27"/>
        <v/>
      </c>
      <c r="AL11" s="802" t="str">
        <f t="shared" si="28"/>
        <v/>
      </c>
      <c r="AM11" s="747" t="str">
        <f t="shared" si="29"/>
        <v/>
      </c>
      <c r="AN11" s="771" t="str">
        <f t="shared" si="30"/>
        <v/>
      </c>
      <c r="AO11" s="771" t="str">
        <f t="shared" si="31"/>
        <v/>
      </c>
      <c r="AP11" s="808" t="str">
        <f t="shared" si="32"/>
        <v/>
      </c>
      <c r="AQ11" s="819" t="str">
        <f t="shared" si="33"/>
        <v/>
      </c>
      <c r="AR11" s="771" t="str">
        <f t="shared" si="34"/>
        <v/>
      </c>
      <c r="AS11" s="771" t="str">
        <f t="shared" si="35"/>
        <v/>
      </c>
      <c r="AT11" s="771" t="str">
        <f t="shared" si="36"/>
        <v/>
      </c>
      <c r="AU11" s="808" t="str">
        <f t="shared" si="37"/>
        <v/>
      </c>
      <c r="AV11" s="842" t="str">
        <f t="shared" si="38"/>
        <v/>
      </c>
      <c r="AW11" s="771" t="str">
        <f t="shared" si="39"/>
        <v/>
      </c>
      <c r="AX11" s="771" t="str">
        <f t="shared" si="40"/>
        <v/>
      </c>
      <c r="AY11" s="771" t="str">
        <f t="shared" si="41"/>
        <v/>
      </c>
      <c r="AZ11" s="831" t="str">
        <f t="shared" si="42"/>
        <v/>
      </c>
      <c r="BA11" s="835" t="str">
        <f t="shared" si="43"/>
        <v/>
      </c>
      <c r="BB11" s="772"/>
      <c r="BC11" s="275" t="str">
        <f t="shared" si="44"/>
        <v/>
      </c>
      <c r="BD11" s="275" t="str">
        <f t="shared" si="45"/>
        <v/>
      </c>
      <c r="BE11" s="886" t="str">
        <f t="shared" si="46"/>
        <v/>
      </c>
      <c r="BF11" s="873" t="str" cm="1">
        <f t="array" ref="BF11">IF($AE11="","",
_xlfn.IFS(
$BA11="Devis 1",
IF(ISBLANK(AN11),"",IFERROR(VALUE(TRIM(SUBSTITUTE(AN11,CHAR(160),""))),0)*IFERROR(VALUE(TRIM(SUBSTITUTE($AE11,CHAR(160),""))),0)),
$BA11="Devis 2",
IF(ISBLANK(AS11),"",IFERROR(VALUE(TRIM(SUBSTITUTE(AS11,CHAR(160),""))),0)*IFERROR(VALUE(TRIM(SUBSTITUTE($AE11,CHAR(160),""))),0)),
$BA11="Devis 3",
IF(ISBLANK(AX11),"",IFERROR(VALUE(TRIM(SUBSTITUTE(AX11,CHAR(160),""))),0)*IFERROR(VALUE(TRIM(SUBSTITUTE($AE11,CHAR(160),""))),0)),
TRUE,0
)
)</f>
        <v/>
      </c>
      <c r="BG11" s="873" t="str" cm="1">
        <f t="array" ref="BG11">IF($AE11="","",
_xlfn.IFS(
$BA11="Devis 1",
IF(ISBLANK(AO11),"",IFERROR(VALUE(TRIM(SUBSTITUTE(AO11,CHAR(160),""))),0)*IFERROR(VALUE(TRIM(SUBSTITUTE($AE11,CHAR(160),""))),0)),
$BA11="Devis 2",
IF(ISBLANK(AT11),"",IFERROR(VALUE(TRIM(SUBSTITUTE(AT11,CHAR(160),""))),0)*IFERROR(VALUE(TRIM(SUBSTITUTE($AE11,CHAR(160),""))),0)),
$BA11="Devis 3",
IF(ISBLANK(AY11),"",IFERROR(VALUE(TRIM(SUBSTITUTE(AY11,CHAR(160),""))),0)*IFERROR(VALUE(TRIM(SUBSTITUTE($AE11,CHAR(160),""))),0)),
TRUE,0
)
)</f>
        <v/>
      </c>
      <c r="BH11" s="874" t="str">
        <f t="shared" si="47"/>
        <v/>
      </c>
      <c r="BI11" s="866"/>
      <c r="BJ11" s="774" t="str" cm="1">
        <f t="array" ref="BJ11">IF(OR(BH11="",BE11="",BF11="",BC11="",BG11="",BD11=""),"",_xlfn.IFS(
ROUND(IFERROR(VALUE(TRIM(SUBSTITUTE(BH11,CHAR(160),""))),0),2)&gt;
ROUND(IFERROR(VALUE(TRIM(SUBSTITUTE(BE11,CHAR(160),""))),0),2),
"KO : Le montant retenu TTC est supérieur au montant raisonnable TTC. Merci de revoir la ligne de dépense ou plafonner son montant.",
ROUND(IFERROR(VALUE(TRIM(SUBSTITUTE(BF11,CHAR(160),""))),0),2)&gt;
ROUND(IFERROR(VALUE(TRIM(SUBSTITUTE(BC11,CHAR(160),""))),0),2),
"Attention : Le montant retenu HT est supérieur au montant HT raisonnable. Merci de revoir la ligne de dépense, plafonner son montant, ou justifier la reventillation HT / TVA.",
ROUND(IFERROR(VALUE(TRIM(SUBSTITUTE(BG11,CHAR(160),""))),0),2)&gt;
ROUND(IFERROR(VALUE(TRIM(SUBSTITUTE(BD11,CHAR(160),""))),0),2),
"Attention : Le montant TVA retenu est supérieur au montant TVA raisonnable. Merci de revoir la ligne de dépense, plafonner son montant, ou justifier la reventillation HT / TVA.",
ROUND(IFERROR(VALUE(TRIM(SUBSTITUTE(BH11,CHAR(160),""))),0),2)&gt;
ROUND(IFERROR(VALUE(TRIM(SUBSTITUTE(MIN(N11,S11,X11),CHAR(160),""))),0),2),
"Attention : Le devis retenu n'est pas le moins cher. Une justification de la part du porteur est nécessaire.",
ROUND(IFERROR(VALUE(TRIM(SUBSTITUTE(BH11,CHAR(160),""))),0),2)=0,
"Attention : montant présenté entièrement écarté",
ROUND(IFERROR(VALUE(TRIM(SUBSTITUTE(BE11,CHAR(160),""))),0),2)=
ROUND(IFERROR(VALUE(TRIM(SUBSTITUTE(BH11,CHAR(160),""))),0),2),
"OK",
ROUND(IFERROR(VALUE(TRIM(SUBSTITUTE(BE11,CHAR(160),""))),0),2)&gt;
ROUND(IFERROR(VALUE(TRIM(SUBSTITUTE(BH11,CHAR(160),""))),0),2),
" OK : Montant instruit inférieur au montant raisonnable.",
TRUE,""
))</f>
        <v/>
      </c>
      <c r="BK11" s="774" t="str" cm="1">
        <f t="array" ref="BK11">IF(OR(BH11="",AB11="",BF11="",Z11="",BG11="",AA11=""),"",_xlfn.IFS(
ROUND(IFERROR(VALUE(TRIM(SUBSTITUTE(BH11,CHAR(160),""))),0),2)&gt;
ROUND(IFERROR(VALUE(TRIM(SUBSTITUTE(AB11,CHAR(160),""))),0),2),
"KO : Le montant retenu TTC est supérieur au montant présenté TTC. Merci de revoir la ligne de dépense ou plafonner son montant.",
ROUND(IFERROR(VALUE(TRIM(SUBSTITUTE(BF11,CHAR(160),""))),0),2)&gt;
ROUND(IFERROR(VALUE(TRIM(SUBSTITUTE(Z11,CHAR(160),""))),0),2),
"Attention : Le montant retenu HT est supérieur au montant HT présenté. Merci de revoir la ligne de dépense, plafonner son montant, ou justifier la reventillation HT / TVA.",
ROUND(IFERROR(VALUE(TRIM(SUBSTITUTE(BG11,CHAR(160),""))),0),2)&gt;
ROUND(IFERROR(VALUE(TRIM(SUBSTITUTE(AA11,CHAR(160),""))),0),2),
"Attention : Le montant TVA retenu est supérieur au montant TVA présenté. Merci de revoir la ligne de dépense, plafonner son montant, ou justifier la reventillation HT / TVA.",
ROUND(IFERROR(VALUE(TRIM(SUBSTITUTE(AB11,CHAR(160),""))),0),2)=0,
"",
ROUND(IFERROR(VALUE(TRIM(SUBSTITUTE(BH11,CHAR(160),""))),0),2)=
ROUND(IFERROR(VALUE(TRIM(SUBSTITUTE(AB11,CHAR(160),""))),0),2),
"OK",
ROUND(IFERROR(VALUE(TRIM(SUBSTITUTE(BH11,CHAR(160),""))),0),2)=0,
"Attention : Montant présenté entièrement rejeté.",
ROUND(IFERROR(VALUE(TRIM(SUBSTITUTE(BH11,CHAR(160),""))),0),2)&lt;
ROUND(IFERROR(VALUE(TRIM(SUBSTITUTE(AB11,CHAR(160),""))),0),2),
"Attention : Montant présenté partiellement rejeté.",
TRUE,""
))</f>
        <v/>
      </c>
      <c r="BL11" s="773" t="str">
        <f t="shared" si="48"/>
        <v/>
      </c>
      <c r="BM11" s="773" t="str">
        <f t="shared" si="49"/>
        <v/>
      </c>
      <c r="BN11" s="773" t="str">
        <f t="shared" si="50"/>
        <v/>
      </c>
    </row>
    <row r="12" spans="1:66" ht="15" customHeight="1">
      <c r="A12" s="193">
        <v>8</v>
      </c>
      <c r="B12" s="7"/>
      <c r="C12" s="9"/>
      <c r="D12" s="30"/>
      <c r="E12" s="36"/>
      <c r="F12" s="34"/>
      <c r="G12" s="35"/>
      <c r="H12" s="685"/>
      <c r="I12" s="786"/>
      <c r="J12" s="792"/>
      <c r="K12" s="758"/>
      <c r="L12" s="761"/>
      <c r="M12" s="762"/>
      <c r="N12" s="808" t="str">
        <f t="shared" si="21"/>
        <v/>
      </c>
      <c r="O12" s="846"/>
      <c r="P12" s="847"/>
      <c r="Q12" s="762"/>
      <c r="R12" s="762"/>
      <c r="S12" s="808" t="str">
        <f t="shared" si="22"/>
        <v/>
      </c>
      <c r="T12" s="850"/>
      <c r="U12" s="847"/>
      <c r="V12" s="762"/>
      <c r="W12" s="762"/>
      <c r="X12" s="830" t="str">
        <f t="shared" si="23"/>
        <v/>
      </c>
      <c r="Y12" s="246"/>
      <c r="Z12" s="284" t="str" cm="1">
        <f t="array" ref="Z12">IF((_xlfn.IFS(TRIM(SUBSTITUTE(Y12,CHAR(160),""))="Devis 1",IFERROR(VALUE(TRIM(SUBSTITUTE(L12,CHAR(160),""))),0),TRIM(SUBSTITUTE(Y12,CHAR(160),""))="Devis 2",IFERROR(VALUE(TRIM(SUBSTITUTE(Q12,CHAR(160),""))),0),TRIM(SUBSTITUTE(Y12,CHAR(160),""))="Devis 3",IFERROR(VALUE(TRIM(SUBSTITUTE(V12,CHAR(160),""))),0),TRUE,0)*IFERROR(VALUE(TRIM(SUBSTITUTE(C12,CHAR(160),""))),0))=0,"",_xlfn.IFS(TRIM(SUBSTITUTE(Y12,CHAR(160),""))="Devis 1",IFERROR(VALUE(TRIM(SUBSTITUTE(L12,CHAR(160),""))),0),TRIM(SUBSTITUTE(Y12,CHAR(160),""))="Devis 2",IFERROR(VALUE(TRIM(SUBSTITUTE(Q12,CHAR(160),""))),0),TRIM(SUBSTITUTE(Y12,CHAR(160),""))="Devis 3",IFERROR(VALUE(TRIM(SUBSTITUTE(V12,CHAR(160),""))),0),TRUE,0)*IFERROR(VALUE(TRIM(SUBSTITUTE(C12,CHAR(160),""))),0))</f>
        <v/>
      </c>
      <c r="AA12" s="275" t="str" cm="1">
        <f t="array" ref="AA12">IF((_xlfn.IFS(TRIM(SUBSTITUTE(Y12,CHAR(160),""))="Devis 1",IFERROR(VALUE(TRIM(SUBSTITUTE(M12,CHAR(160),""))),0),TRIM(SUBSTITUTE(Y12,CHAR(160),""))="Devis 2",IFERROR(VALUE(TRIM(SUBSTITUTE(R12,CHAR(160),""))),0),TRIM(SUBSTITUTE(Y12,CHAR(160),""))="Devis 3",IFERROR(VALUE(TRIM(SUBSTITUTE(W12,CHAR(160),""))),0),TRUE,0)*IFERROR(VALUE(TRIM(SUBSTITUTE(C12,CHAR(160),""))),0))=0,IF(Z12&lt;&gt;"",0,""),_xlfn.IFS(TRIM(SUBSTITUTE(Y12,CHAR(160),""))="Devis 1",IFERROR(VALUE(TRIM(SUBSTITUTE(M12,CHAR(160),""))),0),TRIM(SUBSTITUTE(Y12,CHAR(160),""))="Devis 2",IFERROR(VALUE(TRIM(SUBSTITUTE(R12,CHAR(160),""))),0),TRIM(SUBSTITUTE(Y12,CHAR(160),""))="Devis 3",IFERROR(VALUE(TRIM(SUBSTITUTE(W12,CHAR(160),""))),0),TRUE,0)*IFERROR(VALUE(TRIM(SUBSTITUTE(C12,CHAR(160),""))),0))</f>
        <v/>
      </c>
      <c r="AB12" s="285" t="str">
        <f t="shared" si="24"/>
        <v/>
      </c>
      <c r="AC12" s="209"/>
      <c r="AD12" s="747" t="str">
        <f t="shared" si="0"/>
        <v/>
      </c>
      <c r="AE12" s="747" t="str">
        <f t="shared" si="1"/>
        <v/>
      </c>
      <c r="AF12" s="747" t="str">
        <f t="shared" si="2"/>
        <v/>
      </c>
      <c r="AG12" s="747" t="str">
        <f t="shared" si="3"/>
        <v/>
      </c>
      <c r="AH12" s="747" t="str">
        <f t="shared" si="4"/>
        <v/>
      </c>
      <c r="AI12" s="747" t="str">
        <f t="shared" si="25"/>
        <v/>
      </c>
      <c r="AJ12" s="776" t="str">
        <f t="shared" si="26"/>
        <v/>
      </c>
      <c r="AK12" s="776" t="str">
        <f t="shared" si="27"/>
        <v/>
      </c>
      <c r="AL12" s="802" t="str">
        <f t="shared" si="28"/>
        <v/>
      </c>
      <c r="AM12" s="747" t="str">
        <f t="shared" si="29"/>
        <v/>
      </c>
      <c r="AN12" s="771" t="str">
        <f t="shared" si="30"/>
        <v/>
      </c>
      <c r="AO12" s="771" t="str">
        <f t="shared" si="31"/>
        <v/>
      </c>
      <c r="AP12" s="808" t="str">
        <f t="shared" si="32"/>
        <v/>
      </c>
      <c r="AQ12" s="819" t="str">
        <f t="shared" si="33"/>
        <v/>
      </c>
      <c r="AR12" s="771" t="str">
        <f t="shared" si="34"/>
        <v/>
      </c>
      <c r="AS12" s="771" t="str">
        <f t="shared" si="35"/>
        <v/>
      </c>
      <c r="AT12" s="771" t="str">
        <f t="shared" si="36"/>
        <v/>
      </c>
      <c r="AU12" s="808" t="str">
        <f t="shared" si="37"/>
        <v/>
      </c>
      <c r="AV12" s="842" t="str">
        <f t="shared" si="38"/>
        <v/>
      </c>
      <c r="AW12" s="771" t="str">
        <f t="shared" si="39"/>
        <v/>
      </c>
      <c r="AX12" s="771" t="str">
        <f t="shared" si="40"/>
        <v/>
      </c>
      <c r="AY12" s="771" t="str">
        <f t="shared" si="41"/>
        <v/>
      </c>
      <c r="AZ12" s="831" t="str">
        <f t="shared" si="42"/>
        <v/>
      </c>
      <c r="BA12" s="835" t="str">
        <f t="shared" si="43"/>
        <v/>
      </c>
      <c r="BB12" s="772"/>
      <c r="BC12" s="275" t="str">
        <f t="shared" si="44"/>
        <v/>
      </c>
      <c r="BD12" s="275" t="str">
        <f t="shared" si="45"/>
        <v/>
      </c>
      <c r="BE12" s="886" t="str">
        <f t="shared" si="46"/>
        <v/>
      </c>
      <c r="BF12" s="873" t="str" cm="1">
        <f t="array" ref="BF12">IF($AE12="","",
_xlfn.IFS(
$BA12="Devis 1",
IF(ISBLANK(AN12),"",IFERROR(VALUE(TRIM(SUBSTITUTE(AN12,CHAR(160),""))),0)*IFERROR(VALUE(TRIM(SUBSTITUTE($AE12,CHAR(160),""))),0)),
$BA12="Devis 2",
IF(ISBLANK(AS12),"",IFERROR(VALUE(TRIM(SUBSTITUTE(AS12,CHAR(160),""))),0)*IFERROR(VALUE(TRIM(SUBSTITUTE($AE12,CHAR(160),""))),0)),
$BA12="Devis 3",
IF(ISBLANK(AX12),"",IFERROR(VALUE(TRIM(SUBSTITUTE(AX12,CHAR(160),""))),0)*IFERROR(VALUE(TRIM(SUBSTITUTE($AE12,CHAR(160),""))),0)),
TRUE,0
)
)</f>
        <v/>
      </c>
      <c r="BG12" s="873" t="str" cm="1">
        <f t="array" ref="BG12">IF($AE12="","",
_xlfn.IFS(
$BA12="Devis 1",
IF(ISBLANK(AO12),"",IFERROR(VALUE(TRIM(SUBSTITUTE(AO12,CHAR(160),""))),0)*IFERROR(VALUE(TRIM(SUBSTITUTE($AE12,CHAR(160),""))),0)),
$BA12="Devis 2",
IF(ISBLANK(AT12),"",IFERROR(VALUE(TRIM(SUBSTITUTE(AT12,CHAR(160),""))),0)*IFERROR(VALUE(TRIM(SUBSTITUTE($AE12,CHAR(160),""))),0)),
$BA12="Devis 3",
IF(ISBLANK(AY12),"",IFERROR(VALUE(TRIM(SUBSTITUTE(AY12,CHAR(160),""))),0)*IFERROR(VALUE(TRIM(SUBSTITUTE($AE12,CHAR(160),""))),0)),
TRUE,0
)
)</f>
        <v/>
      </c>
      <c r="BH12" s="874" t="str">
        <f t="shared" si="47"/>
        <v/>
      </c>
      <c r="BI12" s="866"/>
      <c r="BJ12" s="774" t="str" cm="1">
        <f t="array" ref="BJ12">IF(OR(BH12="",BE12="",BF12="",BC12="",BG12="",BD12=""),"",_xlfn.IFS(
ROUND(IFERROR(VALUE(TRIM(SUBSTITUTE(BH12,CHAR(160),""))),0),2)&gt;
ROUND(IFERROR(VALUE(TRIM(SUBSTITUTE(BE12,CHAR(160),""))),0),2),
"KO : Le montant retenu TTC est supérieur au montant raisonnable TTC. Merci de revoir la ligne de dépense ou plafonner son montant.",
ROUND(IFERROR(VALUE(TRIM(SUBSTITUTE(BF12,CHAR(160),""))),0),2)&gt;
ROUND(IFERROR(VALUE(TRIM(SUBSTITUTE(BC12,CHAR(160),""))),0),2),
"Attention : Le montant retenu HT est supérieur au montant HT raisonnable. Merci de revoir la ligne de dépense, plafonner son montant, ou justifier la reventillation HT / TVA.",
ROUND(IFERROR(VALUE(TRIM(SUBSTITUTE(BG12,CHAR(160),""))),0),2)&gt;
ROUND(IFERROR(VALUE(TRIM(SUBSTITUTE(BD12,CHAR(160),""))),0),2),
"Attention : Le montant TVA retenu est supérieur au montant TVA raisonnable. Merci de revoir la ligne de dépense, plafonner son montant, ou justifier la reventillation HT / TVA.",
ROUND(IFERROR(VALUE(TRIM(SUBSTITUTE(BH12,CHAR(160),""))),0),2)&gt;
ROUND(IFERROR(VALUE(TRIM(SUBSTITUTE(MIN(N12,S12,X12),CHAR(160),""))),0),2),
"Attention : Le devis retenu n'est pas le moins cher. Une justification de la part du porteur est nécessaire.",
ROUND(IFERROR(VALUE(TRIM(SUBSTITUTE(BH12,CHAR(160),""))),0),2)=0,
"Attention : montant présenté entièrement écarté",
ROUND(IFERROR(VALUE(TRIM(SUBSTITUTE(BE12,CHAR(160),""))),0),2)=
ROUND(IFERROR(VALUE(TRIM(SUBSTITUTE(BH12,CHAR(160),""))),0),2),
"OK",
ROUND(IFERROR(VALUE(TRIM(SUBSTITUTE(BE12,CHAR(160),""))),0),2)&gt;
ROUND(IFERROR(VALUE(TRIM(SUBSTITUTE(BH12,CHAR(160),""))),0),2),
" OK : Montant instruit inférieur au montant raisonnable.",
TRUE,""
))</f>
        <v/>
      </c>
      <c r="BK12" s="774" t="str" cm="1">
        <f t="array" ref="BK12">IF(OR(BH12="",AB12="",BF12="",Z12="",BG12="",AA12=""),"",_xlfn.IFS(
ROUND(IFERROR(VALUE(TRIM(SUBSTITUTE(BH12,CHAR(160),""))),0),2)&gt;
ROUND(IFERROR(VALUE(TRIM(SUBSTITUTE(AB12,CHAR(160),""))),0),2),
"KO : Le montant retenu TTC est supérieur au montant présenté TTC. Merci de revoir la ligne de dépense ou plafonner son montant.",
ROUND(IFERROR(VALUE(TRIM(SUBSTITUTE(BF12,CHAR(160),""))),0),2)&gt;
ROUND(IFERROR(VALUE(TRIM(SUBSTITUTE(Z12,CHAR(160),""))),0),2),
"Attention : Le montant retenu HT est supérieur au montant HT présenté. Merci de revoir la ligne de dépense, plafonner son montant, ou justifier la reventillation HT / TVA.",
ROUND(IFERROR(VALUE(TRIM(SUBSTITUTE(BG12,CHAR(160),""))),0),2)&gt;
ROUND(IFERROR(VALUE(TRIM(SUBSTITUTE(AA12,CHAR(160),""))),0),2),
"Attention : Le montant TVA retenu est supérieur au montant TVA présenté. Merci de revoir la ligne de dépense, plafonner son montant, ou justifier la reventillation HT / TVA.",
ROUND(IFERROR(VALUE(TRIM(SUBSTITUTE(AB12,CHAR(160),""))),0),2)=0,
"",
ROUND(IFERROR(VALUE(TRIM(SUBSTITUTE(BH12,CHAR(160),""))),0),2)=
ROUND(IFERROR(VALUE(TRIM(SUBSTITUTE(AB12,CHAR(160),""))),0),2),
"OK",
ROUND(IFERROR(VALUE(TRIM(SUBSTITUTE(BH12,CHAR(160),""))),0),2)=0,
"Attention : Montant présenté entièrement rejeté.",
ROUND(IFERROR(VALUE(TRIM(SUBSTITUTE(BH12,CHAR(160),""))),0),2)&lt;
ROUND(IFERROR(VALUE(TRIM(SUBSTITUTE(AB12,CHAR(160),""))),0),2),
"Attention : Montant présenté partiellement rejeté.",
TRUE,""
))</f>
        <v/>
      </c>
      <c r="BL12" s="773" t="str">
        <f t="shared" si="48"/>
        <v/>
      </c>
      <c r="BM12" s="773" t="str">
        <f t="shared" si="49"/>
        <v/>
      </c>
      <c r="BN12" s="773" t="str">
        <f t="shared" si="50"/>
        <v/>
      </c>
    </row>
    <row r="13" spans="1:66" ht="15" customHeight="1">
      <c r="A13" s="193">
        <v>9</v>
      </c>
      <c r="B13" s="7"/>
      <c r="C13" s="9"/>
      <c r="D13" s="30"/>
      <c r="E13" s="36"/>
      <c r="F13" s="34"/>
      <c r="G13" s="35"/>
      <c r="H13" s="685"/>
      <c r="I13" s="786"/>
      <c r="J13" s="792"/>
      <c r="K13" s="758"/>
      <c r="L13" s="761"/>
      <c r="M13" s="762"/>
      <c r="N13" s="808" t="str">
        <f t="shared" si="21"/>
        <v/>
      </c>
      <c r="O13" s="846"/>
      <c r="P13" s="847"/>
      <c r="Q13" s="762"/>
      <c r="R13" s="762"/>
      <c r="S13" s="808" t="str">
        <f t="shared" si="22"/>
        <v/>
      </c>
      <c r="T13" s="850"/>
      <c r="U13" s="847"/>
      <c r="V13" s="762"/>
      <c r="W13" s="762"/>
      <c r="X13" s="830" t="str">
        <f t="shared" si="23"/>
        <v/>
      </c>
      <c r="Y13" s="246"/>
      <c r="Z13" s="284" t="str" cm="1">
        <f t="array" ref="Z13">IF((_xlfn.IFS(TRIM(SUBSTITUTE(Y13,CHAR(160),""))="Devis 1",IFERROR(VALUE(TRIM(SUBSTITUTE(L13,CHAR(160),""))),0),TRIM(SUBSTITUTE(Y13,CHAR(160),""))="Devis 2",IFERROR(VALUE(TRIM(SUBSTITUTE(Q13,CHAR(160),""))),0),TRIM(SUBSTITUTE(Y13,CHAR(160),""))="Devis 3",IFERROR(VALUE(TRIM(SUBSTITUTE(V13,CHAR(160),""))),0),TRUE,0)*IFERROR(VALUE(TRIM(SUBSTITUTE(C13,CHAR(160),""))),0))=0,"",_xlfn.IFS(TRIM(SUBSTITUTE(Y13,CHAR(160),""))="Devis 1",IFERROR(VALUE(TRIM(SUBSTITUTE(L13,CHAR(160),""))),0),TRIM(SUBSTITUTE(Y13,CHAR(160),""))="Devis 2",IFERROR(VALUE(TRIM(SUBSTITUTE(Q13,CHAR(160),""))),0),TRIM(SUBSTITUTE(Y13,CHAR(160),""))="Devis 3",IFERROR(VALUE(TRIM(SUBSTITUTE(V13,CHAR(160),""))),0),TRUE,0)*IFERROR(VALUE(TRIM(SUBSTITUTE(C13,CHAR(160),""))),0))</f>
        <v/>
      </c>
      <c r="AA13" s="275" t="str" cm="1">
        <f t="array" ref="AA13">IF((_xlfn.IFS(TRIM(SUBSTITUTE(Y13,CHAR(160),""))="Devis 1",IFERROR(VALUE(TRIM(SUBSTITUTE(M13,CHAR(160),""))),0),TRIM(SUBSTITUTE(Y13,CHAR(160),""))="Devis 2",IFERROR(VALUE(TRIM(SUBSTITUTE(R13,CHAR(160),""))),0),TRIM(SUBSTITUTE(Y13,CHAR(160),""))="Devis 3",IFERROR(VALUE(TRIM(SUBSTITUTE(W13,CHAR(160),""))),0),TRUE,0)*IFERROR(VALUE(TRIM(SUBSTITUTE(C13,CHAR(160),""))),0))=0,IF(Z13&lt;&gt;"",0,""),_xlfn.IFS(TRIM(SUBSTITUTE(Y13,CHAR(160),""))="Devis 1",IFERROR(VALUE(TRIM(SUBSTITUTE(M13,CHAR(160),""))),0),TRIM(SUBSTITUTE(Y13,CHAR(160),""))="Devis 2",IFERROR(VALUE(TRIM(SUBSTITUTE(R13,CHAR(160),""))),0),TRIM(SUBSTITUTE(Y13,CHAR(160),""))="Devis 3",IFERROR(VALUE(TRIM(SUBSTITUTE(W13,CHAR(160),""))),0),TRUE,0)*IFERROR(VALUE(TRIM(SUBSTITUTE(C13,CHAR(160),""))),0))</f>
        <v/>
      </c>
      <c r="AB13" s="285" t="str">
        <f t="shared" si="24"/>
        <v/>
      </c>
      <c r="AC13" s="209"/>
      <c r="AD13" s="747" t="str">
        <f t="shared" si="0"/>
        <v/>
      </c>
      <c r="AE13" s="747" t="str">
        <f t="shared" si="1"/>
        <v/>
      </c>
      <c r="AF13" s="747" t="str">
        <f t="shared" si="2"/>
        <v/>
      </c>
      <c r="AG13" s="747" t="str">
        <f t="shared" si="3"/>
        <v/>
      </c>
      <c r="AH13" s="747" t="str">
        <f t="shared" si="4"/>
        <v/>
      </c>
      <c r="AI13" s="747" t="str">
        <f t="shared" si="25"/>
        <v/>
      </c>
      <c r="AJ13" s="776" t="str">
        <f t="shared" si="26"/>
        <v/>
      </c>
      <c r="AK13" s="776" t="str">
        <f t="shared" si="27"/>
        <v/>
      </c>
      <c r="AL13" s="802" t="str">
        <f t="shared" si="28"/>
        <v/>
      </c>
      <c r="AM13" s="747" t="str">
        <f t="shared" si="29"/>
        <v/>
      </c>
      <c r="AN13" s="771" t="str">
        <f t="shared" si="30"/>
        <v/>
      </c>
      <c r="AO13" s="771" t="str">
        <f t="shared" si="31"/>
        <v/>
      </c>
      <c r="AP13" s="808" t="str">
        <f t="shared" si="32"/>
        <v/>
      </c>
      <c r="AQ13" s="819" t="str">
        <f t="shared" si="33"/>
        <v/>
      </c>
      <c r="AR13" s="771" t="str">
        <f t="shared" si="34"/>
        <v/>
      </c>
      <c r="AS13" s="771" t="str">
        <f t="shared" si="35"/>
        <v/>
      </c>
      <c r="AT13" s="771" t="str">
        <f t="shared" si="36"/>
        <v/>
      </c>
      <c r="AU13" s="808" t="str">
        <f t="shared" si="37"/>
        <v/>
      </c>
      <c r="AV13" s="842" t="str">
        <f t="shared" si="38"/>
        <v/>
      </c>
      <c r="AW13" s="771" t="str">
        <f t="shared" si="39"/>
        <v/>
      </c>
      <c r="AX13" s="771" t="str">
        <f t="shared" si="40"/>
        <v/>
      </c>
      <c r="AY13" s="771" t="str">
        <f t="shared" si="41"/>
        <v/>
      </c>
      <c r="AZ13" s="831" t="str">
        <f t="shared" si="42"/>
        <v/>
      </c>
      <c r="BA13" s="835" t="str">
        <f t="shared" si="43"/>
        <v/>
      </c>
      <c r="BB13" s="772"/>
      <c r="BC13" s="275" t="str">
        <f t="shared" si="44"/>
        <v/>
      </c>
      <c r="BD13" s="275" t="str">
        <f t="shared" si="45"/>
        <v/>
      </c>
      <c r="BE13" s="886" t="str">
        <f t="shared" si="46"/>
        <v/>
      </c>
      <c r="BF13" s="873" t="str" cm="1">
        <f t="array" ref="BF13">IF($AE13="","",
_xlfn.IFS(
$BA13="Devis 1",
IF(ISBLANK(AN13),"",IFERROR(VALUE(TRIM(SUBSTITUTE(AN13,CHAR(160),""))),0)*IFERROR(VALUE(TRIM(SUBSTITUTE($AE13,CHAR(160),""))),0)),
$BA13="Devis 2",
IF(ISBLANK(AS13),"",IFERROR(VALUE(TRIM(SUBSTITUTE(AS13,CHAR(160),""))),0)*IFERROR(VALUE(TRIM(SUBSTITUTE($AE13,CHAR(160),""))),0)),
$BA13="Devis 3",
IF(ISBLANK(AX13),"",IFERROR(VALUE(TRIM(SUBSTITUTE(AX13,CHAR(160),""))),0)*IFERROR(VALUE(TRIM(SUBSTITUTE($AE13,CHAR(160),""))),0)),
TRUE,0
)
)</f>
        <v/>
      </c>
      <c r="BG13" s="873" t="str" cm="1">
        <f t="array" ref="BG13">IF($AE13="","",
_xlfn.IFS(
$BA13="Devis 1",
IF(ISBLANK(AO13),"",IFERROR(VALUE(TRIM(SUBSTITUTE(AO13,CHAR(160),""))),0)*IFERROR(VALUE(TRIM(SUBSTITUTE($AE13,CHAR(160),""))),0)),
$BA13="Devis 2",
IF(ISBLANK(AT13),"",IFERROR(VALUE(TRIM(SUBSTITUTE(AT13,CHAR(160),""))),0)*IFERROR(VALUE(TRIM(SUBSTITUTE($AE13,CHAR(160),""))),0)),
$BA13="Devis 3",
IF(ISBLANK(AY13),"",IFERROR(VALUE(TRIM(SUBSTITUTE(AY13,CHAR(160),""))),0)*IFERROR(VALUE(TRIM(SUBSTITUTE($AE13,CHAR(160),""))),0)),
TRUE,0
)
)</f>
        <v/>
      </c>
      <c r="BH13" s="874" t="str">
        <f t="shared" si="47"/>
        <v/>
      </c>
      <c r="BI13" s="866"/>
      <c r="BJ13" s="774" t="str" cm="1">
        <f t="array" ref="BJ13">IF(OR(BH13="",BE13="",BF13="",BC13="",BG13="",BD13=""),"",_xlfn.IFS(
ROUND(IFERROR(VALUE(TRIM(SUBSTITUTE(BH13,CHAR(160),""))),0),2)&gt;
ROUND(IFERROR(VALUE(TRIM(SUBSTITUTE(BE13,CHAR(160),""))),0),2),
"KO : Le montant retenu TTC est supérieur au montant raisonnable TTC. Merci de revoir la ligne de dépense ou plafonner son montant.",
ROUND(IFERROR(VALUE(TRIM(SUBSTITUTE(BF13,CHAR(160),""))),0),2)&gt;
ROUND(IFERROR(VALUE(TRIM(SUBSTITUTE(BC13,CHAR(160),""))),0),2),
"Attention : Le montant retenu HT est supérieur au montant HT raisonnable. Merci de revoir la ligne de dépense, plafonner son montant, ou justifier la reventillation HT / TVA.",
ROUND(IFERROR(VALUE(TRIM(SUBSTITUTE(BG13,CHAR(160),""))),0),2)&gt;
ROUND(IFERROR(VALUE(TRIM(SUBSTITUTE(BD13,CHAR(160),""))),0),2),
"Attention : Le montant TVA retenu est supérieur au montant TVA raisonnable. Merci de revoir la ligne de dépense, plafonner son montant, ou justifier la reventillation HT / TVA.",
ROUND(IFERROR(VALUE(TRIM(SUBSTITUTE(BH13,CHAR(160),""))),0),2)&gt;
ROUND(IFERROR(VALUE(TRIM(SUBSTITUTE(MIN(N13,S13,X13),CHAR(160),""))),0),2),
"Attention : Le devis retenu n'est pas le moins cher. Une justification de la part du porteur est nécessaire.",
ROUND(IFERROR(VALUE(TRIM(SUBSTITUTE(BH13,CHAR(160),""))),0),2)=0,
"Attention : montant présenté entièrement écarté",
ROUND(IFERROR(VALUE(TRIM(SUBSTITUTE(BE13,CHAR(160),""))),0),2)=
ROUND(IFERROR(VALUE(TRIM(SUBSTITUTE(BH13,CHAR(160),""))),0),2),
"OK",
ROUND(IFERROR(VALUE(TRIM(SUBSTITUTE(BE13,CHAR(160),""))),0),2)&gt;
ROUND(IFERROR(VALUE(TRIM(SUBSTITUTE(BH13,CHAR(160),""))),0),2),
" OK : Montant instruit inférieur au montant raisonnable.",
TRUE,""
))</f>
        <v/>
      </c>
      <c r="BK13" s="774" t="str" cm="1">
        <f t="array" ref="BK13">IF(OR(BH13="",AB13="",BF13="",Z13="",BG13="",AA13=""),"",_xlfn.IFS(
ROUND(IFERROR(VALUE(TRIM(SUBSTITUTE(BH13,CHAR(160),""))),0),2)&gt;
ROUND(IFERROR(VALUE(TRIM(SUBSTITUTE(AB13,CHAR(160),""))),0),2),
"KO : Le montant retenu TTC est supérieur au montant présenté TTC. Merci de revoir la ligne de dépense ou plafonner son montant.",
ROUND(IFERROR(VALUE(TRIM(SUBSTITUTE(BF13,CHAR(160),""))),0),2)&gt;
ROUND(IFERROR(VALUE(TRIM(SUBSTITUTE(Z13,CHAR(160),""))),0),2),
"Attention : Le montant retenu HT est supérieur au montant HT présenté. Merci de revoir la ligne de dépense, plafonner son montant, ou justifier la reventillation HT / TVA.",
ROUND(IFERROR(VALUE(TRIM(SUBSTITUTE(BG13,CHAR(160),""))),0),2)&gt;
ROUND(IFERROR(VALUE(TRIM(SUBSTITUTE(AA13,CHAR(160),""))),0),2),
"Attention : Le montant TVA retenu est supérieur au montant TVA présenté. Merci de revoir la ligne de dépense, plafonner son montant, ou justifier la reventillation HT / TVA.",
ROUND(IFERROR(VALUE(TRIM(SUBSTITUTE(AB13,CHAR(160),""))),0),2)=0,
"",
ROUND(IFERROR(VALUE(TRIM(SUBSTITUTE(BH13,CHAR(160),""))),0),2)=
ROUND(IFERROR(VALUE(TRIM(SUBSTITUTE(AB13,CHAR(160),""))),0),2),
"OK",
ROUND(IFERROR(VALUE(TRIM(SUBSTITUTE(BH13,CHAR(160),""))),0),2)=0,
"Attention : Montant présenté entièrement rejeté.",
ROUND(IFERROR(VALUE(TRIM(SUBSTITUTE(BH13,CHAR(160),""))),0),2)&lt;
ROUND(IFERROR(VALUE(TRIM(SUBSTITUTE(AB13,CHAR(160),""))),0),2),
"Attention : Montant présenté partiellement rejeté.",
TRUE,""
))</f>
        <v/>
      </c>
      <c r="BL13" s="773" t="str">
        <f t="shared" si="48"/>
        <v/>
      </c>
      <c r="BM13" s="773" t="str">
        <f t="shared" si="49"/>
        <v/>
      </c>
      <c r="BN13" s="773" t="str">
        <f t="shared" si="50"/>
        <v/>
      </c>
    </row>
    <row r="14" spans="1:66" ht="15" customHeight="1">
      <c r="A14" s="193">
        <v>10</v>
      </c>
      <c r="B14" s="7"/>
      <c r="C14" s="9"/>
      <c r="D14" s="30"/>
      <c r="E14" s="36"/>
      <c r="F14" s="34"/>
      <c r="G14" s="35"/>
      <c r="H14" s="685"/>
      <c r="I14" s="786"/>
      <c r="J14" s="792"/>
      <c r="K14" s="758"/>
      <c r="L14" s="761"/>
      <c r="M14" s="762"/>
      <c r="N14" s="808" t="str">
        <f>IF(OR(L14="", M14=""), "", IFERROR(VALUE(TRIM(SUBSTITUTE(L14,CHAR(160),""))),0) + IFERROR(VALUE(TRIM(SUBSTITUTE(M14,CHAR(160),""))),0))</f>
        <v/>
      </c>
      <c r="O14" s="846"/>
      <c r="P14" s="847"/>
      <c r="Q14" s="762"/>
      <c r="R14" s="762"/>
      <c r="S14" s="808" t="str">
        <f t="shared" si="22"/>
        <v/>
      </c>
      <c r="T14" s="850"/>
      <c r="U14" s="847"/>
      <c r="V14" s="762"/>
      <c r="W14" s="762"/>
      <c r="X14" s="830" t="str">
        <f t="shared" si="23"/>
        <v/>
      </c>
      <c r="Y14" s="246"/>
      <c r="Z14" s="284" t="str" cm="1">
        <f t="array" ref="Z14">IF((_xlfn.IFS(TRIM(SUBSTITUTE(Y14,CHAR(160),""))="Devis 1",IFERROR(VALUE(TRIM(SUBSTITUTE(L14,CHAR(160),""))),0),TRIM(SUBSTITUTE(Y14,CHAR(160),""))="Devis 2",IFERROR(VALUE(TRIM(SUBSTITUTE(Q14,CHAR(160),""))),0),TRIM(SUBSTITUTE(Y14,CHAR(160),""))="Devis 3",IFERROR(VALUE(TRIM(SUBSTITUTE(V14,CHAR(160),""))),0),TRUE,0)*IFERROR(VALUE(TRIM(SUBSTITUTE(C14,CHAR(160),""))),0))=0,"",_xlfn.IFS(TRIM(SUBSTITUTE(Y14,CHAR(160),""))="Devis 1",IFERROR(VALUE(TRIM(SUBSTITUTE(L14,CHAR(160),""))),0),TRIM(SUBSTITUTE(Y14,CHAR(160),""))="Devis 2",IFERROR(VALUE(TRIM(SUBSTITUTE(Q14,CHAR(160),""))),0),TRIM(SUBSTITUTE(Y14,CHAR(160),""))="Devis 3",IFERROR(VALUE(TRIM(SUBSTITUTE(V14,CHAR(160),""))),0),TRUE,0)*IFERROR(VALUE(TRIM(SUBSTITUTE(C14,CHAR(160),""))),0))</f>
        <v/>
      </c>
      <c r="AA14" s="275" t="str" cm="1">
        <f t="array" ref="AA14">IF((_xlfn.IFS(TRIM(SUBSTITUTE(Y14,CHAR(160),""))="Devis 1",IFERROR(VALUE(TRIM(SUBSTITUTE(M14,CHAR(160),""))),0),TRIM(SUBSTITUTE(Y14,CHAR(160),""))="Devis 2",IFERROR(VALUE(TRIM(SUBSTITUTE(R14,CHAR(160),""))),0),TRIM(SUBSTITUTE(Y14,CHAR(160),""))="Devis 3",IFERROR(VALUE(TRIM(SUBSTITUTE(W14,CHAR(160),""))),0),TRUE,0)*IFERROR(VALUE(TRIM(SUBSTITUTE(C14,CHAR(160),""))),0))=0,IF(Z14&lt;&gt;"",0,""),_xlfn.IFS(TRIM(SUBSTITUTE(Y14,CHAR(160),""))="Devis 1",IFERROR(VALUE(TRIM(SUBSTITUTE(M14,CHAR(160),""))),0),TRIM(SUBSTITUTE(Y14,CHAR(160),""))="Devis 2",IFERROR(VALUE(TRIM(SUBSTITUTE(R14,CHAR(160),""))),0),TRIM(SUBSTITUTE(Y14,CHAR(160),""))="Devis 3",IFERROR(VALUE(TRIM(SUBSTITUTE(W14,CHAR(160),""))),0),TRUE,0)*IFERROR(VALUE(TRIM(SUBSTITUTE(C14,CHAR(160),""))),0))</f>
        <v/>
      </c>
      <c r="AB14" s="285" t="str">
        <f t="shared" si="24"/>
        <v/>
      </c>
      <c r="AC14" s="209"/>
      <c r="AD14" s="747" t="str">
        <f t="shared" si="0"/>
        <v/>
      </c>
      <c r="AE14" s="747" t="str">
        <f t="shared" si="1"/>
        <v/>
      </c>
      <c r="AF14" s="747" t="str">
        <f t="shared" si="2"/>
        <v/>
      </c>
      <c r="AG14" s="747" t="str">
        <f t="shared" si="3"/>
        <v/>
      </c>
      <c r="AH14" s="747" t="str">
        <f t="shared" si="4"/>
        <v/>
      </c>
      <c r="AI14" s="747" t="str">
        <f t="shared" si="25"/>
        <v/>
      </c>
      <c r="AJ14" s="776" t="str">
        <f t="shared" si="26"/>
        <v/>
      </c>
      <c r="AK14" s="776" t="str">
        <f t="shared" si="27"/>
        <v/>
      </c>
      <c r="AL14" s="802" t="str">
        <f t="shared" si="28"/>
        <v/>
      </c>
      <c r="AM14" s="747" t="str">
        <f t="shared" si="29"/>
        <v/>
      </c>
      <c r="AN14" s="771" t="str">
        <f t="shared" si="30"/>
        <v/>
      </c>
      <c r="AO14" s="771" t="str">
        <f t="shared" si="31"/>
        <v/>
      </c>
      <c r="AP14" s="808" t="str">
        <f t="shared" si="32"/>
        <v/>
      </c>
      <c r="AQ14" s="819" t="str">
        <f t="shared" si="33"/>
        <v/>
      </c>
      <c r="AR14" s="771" t="str">
        <f t="shared" si="34"/>
        <v/>
      </c>
      <c r="AS14" s="771" t="str">
        <f t="shared" si="35"/>
        <v/>
      </c>
      <c r="AT14" s="771" t="str">
        <f t="shared" si="36"/>
        <v/>
      </c>
      <c r="AU14" s="808" t="str">
        <f t="shared" si="37"/>
        <v/>
      </c>
      <c r="AV14" s="842" t="str">
        <f t="shared" si="38"/>
        <v/>
      </c>
      <c r="AW14" s="771" t="str">
        <f t="shared" si="39"/>
        <v/>
      </c>
      <c r="AX14" s="771" t="str">
        <f t="shared" si="40"/>
        <v/>
      </c>
      <c r="AY14" s="771" t="str">
        <f t="shared" si="41"/>
        <v/>
      </c>
      <c r="AZ14" s="831" t="str">
        <f t="shared" si="42"/>
        <v/>
      </c>
      <c r="BA14" s="835" t="str">
        <f t="shared" si="43"/>
        <v/>
      </c>
      <c r="BB14" s="772"/>
      <c r="BC14" s="275" t="str">
        <f t="shared" si="44"/>
        <v/>
      </c>
      <c r="BD14" s="275" t="str">
        <f t="shared" si="45"/>
        <v/>
      </c>
      <c r="BE14" s="886" t="str">
        <f t="shared" si="46"/>
        <v/>
      </c>
      <c r="BF14" s="873" t="str" cm="1">
        <f t="array" ref="BF14">IF($AE14="","",
_xlfn.IFS(
$BA14="Devis 1",
IF(ISBLANK(AN14),"",IFERROR(VALUE(TRIM(SUBSTITUTE(AN14,CHAR(160),""))),0)*IFERROR(VALUE(TRIM(SUBSTITUTE($AE14,CHAR(160),""))),0)),
$BA14="Devis 2",
IF(ISBLANK(AS14),"",IFERROR(VALUE(TRIM(SUBSTITUTE(AS14,CHAR(160),""))),0)*IFERROR(VALUE(TRIM(SUBSTITUTE($AE14,CHAR(160),""))),0)),
$BA14="Devis 3",
IF(ISBLANK(AX14),"",IFERROR(VALUE(TRIM(SUBSTITUTE(AX14,CHAR(160),""))),0)*IFERROR(VALUE(TRIM(SUBSTITUTE($AE14,CHAR(160),""))),0)),
TRUE,0
)
)</f>
        <v/>
      </c>
      <c r="BG14" s="873" t="str" cm="1">
        <f t="array" ref="BG14">IF($AE14="","",
_xlfn.IFS(
$BA14="Devis 1",
IF(ISBLANK(AO14),"",IFERROR(VALUE(TRIM(SUBSTITUTE(AO14,CHAR(160),""))),0)*IFERROR(VALUE(TRIM(SUBSTITUTE($AE14,CHAR(160),""))),0)),
$BA14="Devis 2",
IF(ISBLANK(AT14),"",IFERROR(VALUE(TRIM(SUBSTITUTE(AT14,CHAR(160),""))),0)*IFERROR(VALUE(TRIM(SUBSTITUTE($AE14,CHAR(160),""))),0)),
$BA14="Devis 3",
IF(ISBLANK(AY14),"",IFERROR(VALUE(TRIM(SUBSTITUTE(AY14,CHAR(160),""))),0)*IFERROR(VALUE(TRIM(SUBSTITUTE($AE14,CHAR(160),""))),0)),
TRUE,0
)
)</f>
        <v/>
      </c>
      <c r="BH14" s="874" t="str">
        <f t="shared" si="47"/>
        <v/>
      </c>
      <c r="BI14" s="866"/>
      <c r="BJ14" s="774" t="str" cm="1">
        <f t="array" ref="BJ14">IF(OR(BH14="",BE14="",BF14="",BC14="",BG14="",BD14=""),"",_xlfn.IFS(
ROUND(IFERROR(VALUE(TRIM(SUBSTITUTE(BH14,CHAR(160),""))),0),2)&gt;
ROUND(IFERROR(VALUE(TRIM(SUBSTITUTE(BE14,CHAR(160),""))),0),2),
"KO : Le montant retenu TTC est supérieur au montant raisonnable TTC. Merci de revoir la ligne de dépense ou plafonner son montant.",
ROUND(IFERROR(VALUE(TRIM(SUBSTITUTE(BF14,CHAR(160),""))),0),2)&gt;
ROUND(IFERROR(VALUE(TRIM(SUBSTITUTE(BC14,CHAR(160),""))),0),2),
"Attention : Le montant retenu HT est supérieur au montant HT raisonnable. Merci de revoir la ligne de dépense, plafonner son montant, ou justifier la reventillation HT / TVA.",
ROUND(IFERROR(VALUE(TRIM(SUBSTITUTE(BG14,CHAR(160),""))),0),2)&gt;
ROUND(IFERROR(VALUE(TRIM(SUBSTITUTE(BD14,CHAR(160),""))),0),2),
"Attention : Le montant TVA retenu est supérieur au montant TVA raisonnable. Merci de revoir la ligne de dépense, plafonner son montant, ou justifier la reventillation HT / TVA.",
ROUND(IFERROR(VALUE(TRIM(SUBSTITUTE(BH14,CHAR(160),""))),0),2)&gt;
ROUND(IFERROR(VALUE(TRIM(SUBSTITUTE(MIN(N14,S14,X14),CHAR(160),""))),0),2),
"Attention : Le devis retenu n'est pas le moins cher. Une justification de la part du porteur est nécessaire.",
ROUND(IFERROR(VALUE(TRIM(SUBSTITUTE(BH14,CHAR(160),""))),0),2)=0,
"Attention : montant présenté entièrement écarté",
ROUND(IFERROR(VALUE(TRIM(SUBSTITUTE(BE14,CHAR(160),""))),0),2)=
ROUND(IFERROR(VALUE(TRIM(SUBSTITUTE(BH14,CHAR(160),""))),0),2),
"OK",
ROUND(IFERROR(VALUE(TRIM(SUBSTITUTE(BE14,CHAR(160),""))),0),2)&gt;
ROUND(IFERROR(VALUE(TRIM(SUBSTITUTE(BH14,CHAR(160),""))),0),2),
" OK : Montant instruit inférieur au montant raisonnable.",
TRUE,""
))</f>
        <v/>
      </c>
      <c r="BK14" s="774" t="str" cm="1">
        <f t="array" ref="BK14">IF(OR(BH14="",AB14="",BF14="",Z14="",BG14="",AA14=""),"",_xlfn.IFS(
ROUND(IFERROR(VALUE(TRIM(SUBSTITUTE(BH14,CHAR(160),""))),0),2)&gt;
ROUND(IFERROR(VALUE(TRIM(SUBSTITUTE(AB14,CHAR(160),""))),0),2),
"KO : Le montant retenu TTC est supérieur au montant présenté TTC. Merci de revoir la ligne de dépense ou plafonner son montant.",
ROUND(IFERROR(VALUE(TRIM(SUBSTITUTE(BF14,CHAR(160),""))),0),2)&gt;
ROUND(IFERROR(VALUE(TRIM(SUBSTITUTE(Z14,CHAR(160),""))),0),2),
"Attention : Le montant retenu HT est supérieur au montant HT présenté. Merci de revoir la ligne de dépense, plafonner son montant, ou justifier la reventillation HT / TVA.",
ROUND(IFERROR(VALUE(TRIM(SUBSTITUTE(BG14,CHAR(160),""))),0),2)&gt;
ROUND(IFERROR(VALUE(TRIM(SUBSTITUTE(AA14,CHAR(160),""))),0),2),
"Attention : Le montant TVA retenu est supérieur au montant TVA présenté. Merci de revoir la ligne de dépense, plafonner son montant, ou justifier la reventillation HT / TVA.",
ROUND(IFERROR(VALUE(TRIM(SUBSTITUTE(AB14,CHAR(160),""))),0),2)=0,
"",
ROUND(IFERROR(VALUE(TRIM(SUBSTITUTE(BH14,CHAR(160),""))),0),2)=
ROUND(IFERROR(VALUE(TRIM(SUBSTITUTE(AB14,CHAR(160),""))),0),2),
"OK",
ROUND(IFERROR(VALUE(TRIM(SUBSTITUTE(BH14,CHAR(160),""))),0),2)=0,
"Attention : Montant présenté entièrement rejeté.",
ROUND(IFERROR(VALUE(TRIM(SUBSTITUTE(BH14,CHAR(160),""))),0),2)&lt;
ROUND(IFERROR(VALUE(TRIM(SUBSTITUTE(AB14,CHAR(160),""))),0),2),
"Attention : Montant présenté partiellement rejeté.",
TRUE,""
))</f>
        <v/>
      </c>
      <c r="BL14" s="773" t="str">
        <f t="shared" si="48"/>
        <v/>
      </c>
      <c r="BM14" s="773" t="str">
        <f t="shared" si="49"/>
        <v/>
      </c>
      <c r="BN14" s="773" t="str">
        <f t="shared" si="50"/>
        <v/>
      </c>
    </row>
    <row r="15" spans="1:66" ht="15" customHeight="1">
      <c r="A15" s="193">
        <v>11</v>
      </c>
      <c r="B15" s="7"/>
      <c r="C15" s="9"/>
      <c r="D15" s="30"/>
      <c r="E15" s="36"/>
      <c r="F15" s="34"/>
      <c r="G15" s="35"/>
      <c r="H15" s="685"/>
      <c r="I15" s="786"/>
      <c r="J15" s="792"/>
      <c r="K15" s="758"/>
      <c r="L15" s="761"/>
      <c r="M15" s="762"/>
      <c r="N15" s="808" t="str">
        <f t="shared" si="21"/>
        <v/>
      </c>
      <c r="O15" s="846"/>
      <c r="P15" s="847"/>
      <c r="Q15" s="762"/>
      <c r="R15" s="762"/>
      <c r="S15" s="808" t="str">
        <f t="shared" si="22"/>
        <v/>
      </c>
      <c r="T15" s="850"/>
      <c r="U15" s="847"/>
      <c r="V15" s="762"/>
      <c r="W15" s="762"/>
      <c r="X15" s="830" t="str">
        <f t="shared" si="23"/>
        <v/>
      </c>
      <c r="Y15" s="246"/>
      <c r="Z15" s="284" t="str" cm="1">
        <f t="array" ref="Z15">IF((_xlfn.IFS(TRIM(SUBSTITUTE(Y15,CHAR(160),""))="Devis 1",IFERROR(VALUE(TRIM(SUBSTITUTE(L15,CHAR(160),""))),0),TRIM(SUBSTITUTE(Y15,CHAR(160),""))="Devis 2",IFERROR(VALUE(TRIM(SUBSTITUTE(Q15,CHAR(160),""))),0),TRIM(SUBSTITUTE(Y15,CHAR(160),""))="Devis 3",IFERROR(VALUE(TRIM(SUBSTITUTE(V15,CHAR(160),""))),0),TRUE,0)*IFERROR(VALUE(TRIM(SUBSTITUTE(C15,CHAR(160),""))),0))=0,"",_xlfn.IFS(TRIM(SUBSTITUTE(Y15,CHAR(160),""))="Devis 1",IFERROR(VALUE(TRIM(SUBSTITUTE(L15,CHAR(160),""))),0),TRIM(SUBSTITUTE(Y15,CHAR(160),""))="Devis 2",IFERROR(VALUE(TRIM(SUBSTITUTE(Q15,CHAR(160),""))),0),TRIM(SUBSTITUTE(Y15,CHAR(160),""))="Devis 3",IFERROR(VALUE(TRIM(SUBSTITUTE(V15,CHAR(160),""))),0),TRUE,0)*IFERROR(VALUE(TRIM(SUBSTITUTE(C15,CHAR(160),""))),0))</f>
        <v/>
      </c>
      <c r="AA15" s="275" t="str" cm="1">
        <f t="array" ref="AA15">IF((_xlfn.IFS(TRIM(SUBSTITUTE(Y15,CHAR(160),""))="Devis 1",IFERROR(VALUE(TRIM(SUBSTITUTE(M15,CHAR(160),""))),0),TRIM(SUBSTITUTE(Y15,CHAR(160),""))="Devis 2",IFERROR(VALUE(TRIM(SUBSTITUTE(R15,CHAR(160),""))),0),TRIM(SUBSTITUTE(Y15,CHAR(160),""))="Devis 3",IFERROR(VALUE(TRIM(SUBSTITUTE(W15,CHAR(160),""))),0),TRUE,0)*IFERROR(VALUE(TRIM(SUBSTITUTE(C15,CHAR(160),""))),0))=0,IF(Z15&lt;&gt;"",0,""),_xlfn.IFS(TRIM(SUBSTITUTE(Y15,CHAR(160),""))="Devis 1",IFERROR(VALUE(TRIM(SUBSTITUTE(M15,CHAR(160),""))),0),TRIM(SUBSTITUTE(Y15,CHAR(160),""))="Devis 2",IFERROR(VALUE(TRIM(SUBSTITUTE(R15,CHAR(160),""))),0),TRIM(SUBSTITUTE(Y15,CHAR(160),""))="Devis 3",IFERROR(VALUE(TRIM(SUBSTITUTE(W15,CHAR(160),""))),0),TRUE,0)*IFERROR(VALUE(TRIM(SUBSTITUTE(C15,CHAR(160),""))),0))</f>
        <v/>
      </c>
      <c r="AB15" s="285" t="str">
        <f t="shared" si="24"/>
        <v/>
      </c>
      <c r="AC15" s="209"/>
      <c r="AD15" s="747" t="str">
        <f t="shared" si="0"/>
        <v/>
      </c>
      <c r="AE15" s="747" t="str">
        <f t="shared" si="1"/>
        <v/>
      </c>
      <c r="AF15" s="747" t="str">
        <f t="shared" si="2"/>
        <v/>
      </c>
      <c r="AG15" s="747" t="str">
        <f t="shared" si="3"/>
        <v/>
      </c>
      <c r="AH15" s="747" t="str">
        <f t="shared" si="4"/>
        <v/>
      </c>
      <c r="AI15" s="747" t="str">
        <f t="shared" si="25"/>
        <v/>
      </c>
      <c r="AJ15" s="776" t="str">
        <f t="shared" si="26"/>
        <v/>
      </c>
      <c r="AK15" s="776" t="str">
        <f t="shared" si="27"/>
        <v/>
      </c>
      <c r="AL15" s="802" t="str">
        <f t="shared" si="28"/>
        <v/>
      </c>
      <c r="AM15" s="747" t="str">
        <f t="shared" si="29"/>
        <v/>
      </c>
      <c r="AN15" s="771" t="str">
        <f t="shared" si="30"/>
        <v/>
      </c>
      <c r="AO15" s="771" t="str">
        <f t="shared" si="31"/>
        <v/>
      </c>
      <c r="AP15" s="808" t="str">
        <f t="shared" si="32"/>
        <v/>
      </c>
      <c r="AQ15" s="819" t="str">
        <f t="shared" si="33"/>
        <v/>
      </c>
      <c r="AR15" s="771" t="str">
        <f t="shared" si="34"/>
        <v/>
      </c>
      <c r="AS15" s="771" t="str">
        <f t="shared" si="35"/>
        <v/>
      </c>
      <c r="AT15" s="771" t="str">
        <f t="shared" si="36"/>
        <v/>
      </c>
      <c r="AU15" s="808" t="str">
        <f t="shared" si="37"/>
        <v/>
      </c>
      <c r="AV15" s="842" t="str">
        <f t="shared" si="38"/>
        <v/>
      </c>
      <c r="AW15" s="771" t="str">
        <f t="shared" si="39"/>
        <v/>
      </c>
      <c r="AX15" s="771" t="str">
        <f t="shared" si="40"/>
        <v/>
      </c>
      <c r="AY15" s="771" t="str">
        <f t="shared" si="41"/>
        <v/>
      </c>
      <c r="AZ15" s="831" t="str">
        <f t="shared" si="42"/>
        <v/>
      </c>
      <c r="BA15" s="835" t="str">
        <f t="shared" si="43"/>
        <v/>
      </c>
      <c r="BB15" s="772"/>
      <c r="BC15" s="275" t="str">
        <f t="shared" si="44"/>
        <v/>
      </c>
      <c r="BD15" s="275" t="str">
        <f t="shared" si="45"/>
        <v/>
      </c>
      <c r="BE15" s="886" t="str">
        <f t="shared" si="46"/>
        <v/>
      </c>
      <c r="BF15" s="873" t="str" cm="1">
        <f t="array" ref="BF15">IF($AE15="","",
_xlfn.IFS(
$BA15="Devis 1",
IF(ISBLANK(AN15),"",IFERROR(VALUE(TRIM(SUBSTITUTE(AN15,CHAR(160),""))),0)*IFERROR(VALUE(TRIM(SUBSTITUTE($AE15,CHAR(160),""))),0)),
$BA15="Devis 2",
IF(ISBLANK(AS15),"",IFERROR(VALUE(TRIM(SUBSTITUTE(AS15,CHAR(160),""))),0)*IFERROR(VALUE(TRIM(SUBSTITUTE($AE15,CHAR(160),""))),0)),
$BA15="Devis 3",
IF(ISBLANK(AX15),"",IFERROR(VALUE(TRIM(SUBSTITUTE(AX15,CHAR(160),""))),0)*IFERROR(VALUE(TRIM(SUBSTITUTE($AE15,CHAR(160),""))),0)),
TRUE,0
)
)</f>
        <v/>
      </c>
      <c r="BG15" s="873" t="str" cm="1">
        <f t="array" ref="BG15">IF($AE15="","",
_xlfn.IFS(
$BA15="Devis 1",
IF(ISBLANK(AO15),"",IFERROR(VALUE(TRIM(SUBSTITUTE(AO15,CHAR(160),""))),0)*IFERROR(VALUE(TRIM(SUBSTITUTE($AE15,CHAR(160),""))),0)),
$BA15="Devis 2",
IF(ISBLANK(AT15),"",IFERROR(VALUE(TRIM(SUBSTITUTE(AT15,CHAR(160),""))),0)*IFERROR(VALUE(TRIM(SUBSTITUTE($AE15,CHAR(160),""))),0)),
$BA15="Devis 3",
IF(ISBLANK(AY15),"",IFERROR(VALUE(TRIM(SUBSTITUTE(AY15,CHAR(160),""))),0)*IFERROR(VALUE(TRIM(SUBSTITUTE($AE15,CHAR(160),""))),0)),
TRUE,0
)
)</f>
        <v/>
      </c>
      <c r="BH15" s="874" t="str">
        <f t="shared" si="47"/>
        <v/>
      </c>
      <c r="BI15" s="866"/>
      <c r="BJ15" s="774" t="str" cm="1">
        <f t="array" ref="BJ15">IF(OR(BH15="",BE15="",BF15="",BC15="",BG15="",BD15=""),"",_xlfn.IFS(
ROUND(IFERROR(VALUE(TRIM(SUBSTITUTE(BH15,CHAR(160),""))),0),2)&gt;
ROUND(IFERROR(VALUE(TRIM(SUBSTITUTE(BE15,CHAR(160),""))),0),2),
"KO : Le montant retenu TTC est supérieur au montant raisonnable TTC. Merci de revoir la ligne de dépense ou plafonner son montant.",
ROUND(IFERROR(VALUE(TRIM(SUBSTITUTE(BF15,CHAR(160),""))),0),2)&gt;
ROUND(IFERROR(VALUE(TRIM(SUBSTITUTE(BC15,CHAR(160),""))),0),2),
"Attention : Le montant retenu HT est supérieur au montant HT raisonnable. Merci de revoir la ligne de dépense, plafonner son montant, ou justifier la reventillation HT / TVA.",
ROUND(IFERROR(VALUE(TRIM(SUBSTITUTE(BG15,CHAR(160),""))),0),2)&gt;
ROUND(IFERROR(VALUE(TRIM(SUBSTITUTE(BD15,CHAR(160),""))),0),2),
"Attention : Le montant TVA retenu est supérieur au montant TVA raisonnable. Merci de revoir la ligne de dépense, plafonner son montant, ou justifier la reventillation HT / TVA.",
ROUND(IFERROR(VALUE(TRIM(SUBSTITUTE(BH15,CHAR(160),""))),0),2)&gt;
ROUND(IFERROR(VALUE(TRIM(SUBSTITUTE(MIN(N15,S15,X15),CHAR(160),""))),0),2),
"Attention : Le devis retenu n'est pas le moins cher. Une justification de la part du porteur est nécessaire.",
ROUND(IFERROR(VALUE(TRIM(SUBSTITUTE(BH15,CHAR(160),""))),0),2)=0,
"Attention : montant présenté entièrement écarté",
ROUND(IFERROR(VALUE(TRIM(SUBSTITUTE(BE15,CHAR(160),""))),0),2)=
ROUND(IFERROR(VALUE(TRIM(SUBSTITUTE(BH15,CHAR(160),""))),0),2),
"OK",
ROUND(IFERROR(VALUE(TRIM(SUBSTITUTE(BE15,CHAR(160),""))),0),2)&gt;
ROUND(IFERROR(VALUE(TRIM(SUBSTITUTE(BH15,CHAR(160),""))),0),2),
" OK : Montant instruit inférieur au montant raisonnable.",
TRUE,""
))</f>
        <v/>
      </c>
      <c r="BK15" s="774" t="str" cm="1">
        <f t="array" ref="BK15">IF(OR(BH15="",AB15="",BF15="",Z15="",BG15="",AA15=""),"",_xlfn.IFS(
ROUND(IFERROR(VALUE(TRIM(SUBSTITUTE(BH15,CHAR(160),""))),0),2)&gt;
ROUND(IFERROR(VALUE(TRIM(SUBSTITUTE(AB15,CHAR(160),""))),0),2),
"KO : Le montant retenu TTC est supérieur au montant présenté TTC. Merci de revoir la ligne de dépense ou plafonner son montant.",
ROUND(IFERROR(VALUE(TRIM(SUBSTITUTE(BF15,CHAR(160),""))),0),2)&gt;
ROUND(IFERROR(VALUE(TRIM(SUBSTITUTE(Z15,CHAR(160),""))),0),2),
"Attention : Le montant retenu HT est supérieur au montant HT présenté. Merci de revoir la ligne de dépense, plafonner son montant, ou justifier la reventillation HT / TVA.",
ROUND(IFERROR(VALUE(TRIM(SUBSTITUTE(BG15,CHAR(160),""))),0),2)&gt;
ROUND(IFERROR(VALUE(TRIM(SUBSTITUTE(AA15,CHAR(160),""))),0),2),
"Attention : Le montant TVA retenu est supérieur au montant TVA présenté. Merci de revoir la ligne de dépense, plafonner son montant, ou justifier la reventillation HT / TVA.",
ROUND(IFERROR(VALUE(TRIM(SUBSTITUTE(AB15,CHAR(160),""))),0),2)=0,
"",
ROUND(IFERROR(VALUE(TRIM(SUBSTITUTE(BH15,CHAR(160),""))),0),2)=
ROUND(IFERROR(VALUE(TRIM(SUBSTITUTE(AB15,CHAR(160),""))),0),2),
"OK",
ROUND(IFERROR(VALUE(TRIM(SUBSTITUTE(BH15,CHAR(160),""))),0),2)=0,
"Attention : Montant présenté entièrement rejeté.",
ROUND(IFERROR(VALUE(TRIM(SUBSTITUTE(BH15,CHAR(160),""))),0),2)&lt;
ROUND(IFERROR(VALUE(TRIM(SUBSTITUTE(AB15,CHAR(160),""))),0),2),
"Attention : Montant présenté partiellement rejeté.",
TRUE,""
))</f>
        <v/>
      </c>
      <c r="BL15" s="773" t="str">
        <f t="shared" si="48"/>
        <v/>
      </c>
      <c r="BM15" s="773" t="str">
        <f t="shared" si="49"/>
        <v/>
      </c>
      <c r="BN15" s="773" t="str">
        <f t="shared" si="50"/>
        <v/>
      </c>
    </row>
    <row r="16" spans="1:66" ht="15" customHeight="1">
      <c r="A16" s="193">
        <v>12</v>
      </c>
      <c r="B16" s="7"/>
      <c r="C16" s="9"/>
      <c r="D16" s="30"/>
      <c r="E16" s="36"/>
      <c r="F16" s="34"/>
      <c r="G16" s="35"/>
      <c r="H16" s="685"/>
      <c r="I16" s="786"/>
      <c r="J16" s="792"/>
      <c r="K16" s="758"/>
      <c r="L16" s="761"/>
      <c r="M16" s="762"/>
      <c r="N16" s="808" t="str">
        <f t="shared" si="21"/>
        <v/>
      </c>
      <c r="O16" s="846"/>
      <c r="P16" s="847"/>
      <c r="Q16" s="762"/>
      <c r="R16" s="762"/>
      <c r="S16" s="808" t="str">
        <f t="shared" si="22"/>
        <v/>
      </c>
      <c r="T16" s="850"/>
      <c r="U16" s="847"/>
      <c r="V16" s="762"/>
      <c r="W16" s="762"/>
      <c r="X16" s="830" t="str">
        <f t="shared" si="23"/>
        <v/>
      </c>
      <c r="Y16" s="246"/>
      <c r="Z16" s="284" t="str" cm="1">
        <f t="array" ref="Z16">IF((_xlfn.IFS(TRIM(SUBSTITUTE(Y16,CHAR(160),""))="Devis 1",IFERROR(VALUE(TRIM(SUBSTITUTE(L16,CHAR(160),""))),0),TRIM(SUBSTITUTE(Y16,CHAR(160),""))="Devis 2",IFERROR(VALUE(TRIM(SUBSTITUTE(Q16,CHAR(160),""))),0),TRIM(SUBSTITUTE(Y16,CHAR(160),""))="Devis 3",IFERROR(VALUE(TRIM(SUBSTITUTE(V16,CHAR(160),""))),0),TRUE,0)*IFERROR(VALUE(TRIM(SUBSTITUTE(C16,CHAR(160),""))),0))=0,"",_xlfn.IFS(TRIM(SUBSTITUTE(Y16,CHAR(160),""))="Devis 1",IFERROR(VALUE(TRIM(SUBSTITUTE(L16,CHAR(160),""))),0),TRIM(SUBSTITUTE(Y16,CHAR(160),""))="Devis 2",IFERROR(VALUE(TRIM(SUBSTITUTE(Q16,CHAR(160),""))),0),TRIM(SUBSTITUTE(Y16,CHAR(160),""))="Devis 3",IFERROR(VALUE(TRIM(SUBSTITUTE(V16,CHAR(160),""))),0),TRUE,0)*IFERROR(VALUE(TRIM(SUBSTITUTE(C16,CHAR(160),""))),0))</f>
        <v/>
      </c>
      <c r="AA16" s="275" t="str" cm="1">
        <f t="array" ref="AA16">IF((_xlfn.IFS(TRIM(SUBSTITUTE(Y16,CHAR(160),""))="Devis 1",IFERROR(VALUE(TRIM(SUBSTITUTE(M16,CHAR(160),""))),0),TRIM(SUBSTITUTE(Y16,CHAR(160),""))="Devis 2",IFERROR(VALUE(TRIM(SUBSTITUTE(R16,CHAR(160),""))),0),TRIM(SUBSTITUTE(Y16,CHAR(160),""))="Devis 3",IFERROR(VALUE(TRIM(SUBSTITUTE(W16,CHAR(160),""))),0),TRUE,0)*IFERROR(VALUE(TRIM(SUBSTITUTE(C16,CHAR(160),""))),0))=0,IF(Z16&lt;&gt;"",0,""),_xlfn.IFS(TRIM(SUBSTITUTE(Y16,CHAR(160),""))="Devis 1",IFERROR(VALUE(TRIM(SUBSTITUTE(M16,CHAR(160),""))),0),TRIM(SUBSTITUTE(Y16,CHAR(160),""))="Devis 2",IFERROR(VALUE(TRIM(SUBSTITUTE(R16,CHAR(160),""))),0),TRIM(SUBSTITUTE(Y16,CHAR(160),""))="Devis 3",IFERROR(VALUE(TRIM(SUBSTITUTE(W16,CHAR(160),""))),0),TRUE,0)*IFERROR(VALUE(TRIM(SUBSTITUTE(C16,CHAR(160),""))),0))</f>
        <v/>
      </c>
      <c r="AB16" s="285" t="str">
        <f t="shared" si="24"/>
        <v/>
      </c>
      <c r="AC16" s="209"/>
      <c r="AD16" s="747" t="str">
        <f t="shared" si="0"/>
        <v/>
      </c>
      <c r="AE16" s="747" t="str">
        <f t="shared" si="1"/>
        <v/>
      </c>
      <c r="AF16" s="747" t="str">
        <f t="shared" si="2"/>
        <v/>
      </c>
      <c r="AG16" s="747" t="str">
        <f t="shared" si="3"/>
        <v/>
      </c>
      <c r="AH16" s="747" t="str">
        <f t="shared" si="4"/>
        <v/>
      </c>
      <c r="AI16" s="747" t="str">
        <f t="shared" si="25"/>
        <v/>
      </c>
      <c r="AJ16" s="776" t="str">
        <f t="shared" si="26"/>
        <v/>
      </c>
      <c r="AK16" s="776" t="str">
        <f t="shared" si="27"/>
        <v/>
      </c>
      <c r="AL16" s="802" t="str">
        <f t="shared" si="28"/>
        <v/>
      </c>
      <c r="AM16" s="747" t="str">
        <f t="shared" si="29"/>
        <v/>
      </c>
      <c r="AN16" s="771" t="str">
        <f t="shared" si="30"/>
        <v/>
      </c>
      <c r="AO16" s="771" t="str">
        <f t="shared" si="31"/>
        <v/>
      </c>
      <c r="AP16" s="808" t="str">
        <f t="shared" si="32"/>
        <v/>
      </c>
      <c r="AQ16" s="819" t="str">
        <f t="shared" si="33"/>
        <v/>
      </c>
      <c r="AR16" s="771" t="str">
        <f t="shared" si="34"/>
        <v/>
      </c>
      <c r="AS16" s="771" t="str">
        <f t="shared" si="35"/>
        <v/>
      </c>
      <c r="AT16" s="771" t="str">
        <f t="shared" si="36"/>
        <v/>
      </c>
      <c r="AU16" s="808" t="str">
        <f t="shared" si="37"/>
        <v/>
      </c>
      <c r="AV16" s="842" t="str">
        <f t="shared" si="38"/>
        <v/>
      </c>
      <c r="AW16" s="771" t="str">
        <f t="shared" si="39"/>
        <v/>
      </c>
      <c r="AX16" s="771" t="str">
        <f t="shared" si="40"/>
        <v/>
      </c>
      <c r="AY16" s="771" t="str">
        <f t="shared" si="41"/>
        <v/>
      </c>
      <c r="AZ16" s="831" t="str">
        <f t="shared" si="42"/>
        <v/>
      </c>
      <c r="BA16" s="835" t="str">
        <f t="shared" si="43"/>
        <v/>
      </c>
      <c r="BB16" s="772"/>
      <c r="BC16" s="275" t="str">
        <f t="shared" si="44"/>
        <v/>
      </c>
      <c r="BD16" s="275" t="str">
        <f t="shared" si="45"/>
        <v/>
      </c>
      <c r="BE16" s="886" t="str">
        <f t="shared" si="46"/>
        <v/>
      </c>
      <c r="BF16" s="873" t="str" cm="1">
        <f t="array" ref="BF16">IF($AE16="","",
_xlfn.IFS(
$BA16="Devis 1",
IF(ISBLANK(AN16),"",IFERROR(VALUE(TRIM(SUBSTITUTE(AN16,CHAR(160),""))),0)*IFERROR(VALUE(TRIM(SUBSTITUTE($AE16,CHAR(160),""))),0)),
$BA16="Devis 2",
IF(ISBLANK(AS16),"",IFERROR(VALUE(TRIM(SUBSTITUTE(AS16,CHAR(160),""))),0)*IFERROR(VALUE(TRIM(SUBSTITUTE($AE16,CHAR(160),""))),0)),
$BA16="Devis 3",
IF(ISBLANK(AX16),"",IFERROR(VALUE(TRIM(SUBSTITUTE(AX16,CHAR(160),""))),0)*IFERROR(VALUE(TRIM(SUBSTITUTE($AE16,CHAR(160),""))),0)),
TRUE,0
)
)</f>
        <v/>
      </c>
      <c r="BG16" s="873" t="str" cm="1">
        <f t="array" ref="BG16">IF($AE16="","",
_xlfn.IFS(
$BA16="Devis 1",
IF(ISBLANK(AO16),"",IFERROR(VALUE(TRIM(SUBSTITUTE(AO16,CHAR(160),""))),0)*IFERROR(VALUE(TRIM(SUBSTITUTE($AE16,CHAR(160),""))),0)),
$BA16="Devis 2",
IF(ISBLANK(AT16),"",IFERROR(VALUE(TRIM(SUBSTITUTE(AT16,CHAR(160),""))),0)*IFERROR(VALUE(TRIM(SUBSTITUTE($AE16,CHAR(160),""))),0)),
$BA16="Devis 3",
IF(ISBLANK(AY16),"",IFERROR(VALUE(TRIM(SUBSTITUTE(AY16,CHAR(160),""))),0)*IFERROR(VALUE(TRIM(SUBSTITUTE($AE16,CHAR(160),""))),0)),
TRUE,0
)
)</f>
        <v/>
      </c>
      <c r="BH16" s="874" t="str">
        <f t="shared" si="47"/>
        <v/>
      </c>
      <c r="BI16" s="866"/>
      <c r="BJ16" s="774" t="str" cm="1">
        <f t="array" ref="BJ16">IF(OR(BH16="",BE16="",BF16="",BC16="",BG16="",BD16=""),"",_xlfn.IFS(
ROUND(IFERROR(VALUE(TRIM(SUBSTITUTE(BH16,CHAR(160),""))),0),2)&gt;
ROUND(IFERROR(VALUE(TRIM(SUBSTITUTE(BE16,CHAR(160),""))),0),2),
"KO : Le montant retenu TTC est supérieur au montant raisonnable TTC. Merci de revoir la ligne de dépense ou plafonner son montant.",
ROUND(IFERROR(VALUE(TRIM(SUBSTITUTE(BF16,CHAR(160),""))),0),2)&gt;
ROUND(IFERROR(VALUE(TRIM(SUBSTITUTE(BC16,CHAR(160),""))),0),2),
"Attention : Le montant retenu HT est supérieur au montant HT raisonnable. Merci de revoir la ligne de dépense, plafonner son montant, ou justifier la reventillation HT / TVA.",
ROUND(IFERROR(VALUE(TRIM(SUBSTITUTE(BG16,CHAR(160),""))),0),2)&gt;
ROUND(IFERROR(VALUE(TRIM(SUBSTITUTE(BD16,CHAR(160),""))),0),2),
"Attention : Le montant TVA retenu est supérieur au montant TVA raisonnable. Merci de revoir la ligne de dépense, plafonner son montant, ou justifier la reventillation HT / TVA.",
ROUND(IFERROR(VALUE(TRIM(SUBSTITUTE(BH16,CHAR(160),""))),0),2)&gt;
ROUND(IFERROR(VALUE(TRIM(SUBSTITUTE(MIN(N16,S16,X16),CHAR(160),""))),0),2),
"Attention : Le devis retenu n'est pas le moins cher. Une justification de la part du porteur est nécessaire.",
ROUND(IFERROR(VALUE(TRIM(SUBSTITUTE(BH16,CHAR(160),""))),0),2)=0,
"Attention : montant présenté entièrement écarté",
ROUND(IFERROR(VALUE(TRIM(SUBSTITUTE(BE16,CHAR(160),""))),0),2)=
ROUND(IFERROR(VALUE(TRIM(SUBSTITUTE(BH16,CHAR(160),""))),0),2),
"OK",
ROUND(IFERROR(VALUE(TRIM(SUBSTITUTE(BE16,CHAR(160),""))),0),2)&gt;
ROUND(IFERROR(VALUE(TRIM(SUBSTITUTE(BH16,CHAR(160),""))),0),2),
" OK : Montant instruit inférieur au montant raisonnable.",
TRUE,""
))</f>
        <v/>
      </c>
      <c r="BK16" s="774" t="str" cm="1">
        <f t="array" ref="BK16">IF(OR(BH16="",AB16="",BF16="",Z16="",BG16="",AA16=""),"",_xlfn.IFS(
ROUND(IFERROR(VALUE(TRIM(SUBSTITUTE(BH16,CHAR(160),""))),0),2)&gt;
ROUND(IFERROR(VALUE(TRIM(SUBSTITUTE(AB16,CHAR(160),""))),0),2),
"KO : Le montant retenu TTC est supérieur au montant présenté TTC. Merci de revoir la ligne de dépense ou plafonner son montant.",
ROUND(IFERROR(VALUE(TRIM(SUBSTITUTE(BF16,CHAR(160),""))),0),2)&gt;
ROUND(IFERROR(VALUE(TRIM(SUBSTITUTE(Z16,CHAR(160),""))),0),2),
"Attention : Le montant retenu HT est supérieur au montant HT présenté. Merci de revoir la ligne de dépense, plafonner son montant, ou justifier la reventillation HT / TVA.",
ROUND(IFERROR(VALUE(TRIM(SUBSTITUTE(BG16,CHAR(160),""))),0),2)&gt;
ROUND(IFERROR(VALUE(TRIM(SUBSTITUTE(AA16,CHAR(160),""))),0),2),
"Attention : Le montant TVA retenu est supérieur au montant TVA présenté. Merci de revoir la ligne de dépense, plafonner son montant, ou justifier la reventillation HT / TVA.",
ROUND(IFERROR(VALUE(TRIM(SUBSTITUTE(AB16,CHAR(160),""))),0),2)=0,
"",
ROUND(IFERROR(VALUE(TRIM(SUBSTITUTE(BH16,CHAR(160),""))),0),2)=
ROUND(IFERROR(VALUE(TRIM(SUBSTITUTE(AB16,CHAR(160),""))),0),2),
"OK",
ROUND(IFERROR(VALUE(TRIM(SUBSTITUTE(BH16,CHAR(160),""))),0),2)=0,
"Attention : Montant présenté entièrement rejeté.",
ROUND(IFERROR(VALUE(TRIM(SUBSTITUTE(BH16,CHAR(160),""))),0),2)&lt;
ROUND(IFERROR(VALUE(TRIM(SUBSTITUTE(AB16,CHAR(160),""))),0),2),
"Attention : Montant présenté partiellement rejeté.",
TRUE,""
))</f>
        <v/>
      </c>
      <c r="BL16" s="773" t="str">
        <f t="shared" si="48"/>
        <v/>
      </c>
      <c r="BM16" s="773" t="str">
        <f t="shared" si="49"/>
        <v/>
      </c>
      <c r="BN16" s="773" t="str">
        <f t="shared" si="50"/>
        <v/>
      </c>
    </row>
    <row r="17" spans="1:66" ht="15" customHeight="1">
      <c r="A17" s="193">
        <v>13</v>
      </c>
      <c r="B17" s="7"/>
      <c r="C17" s="9"/>
      <c r="D17" s="30"/>
      <c r="E17" s="36"/>
      <c r="F17" s="34"/>
      <c r="G17" s="35"/>
      <c r="H17" s="685"/>
      <c r="I17" s="786"/>
      <c r="J17" s="792"/>
      <c r="K17" s="758"/>
      <c r="L17" s="761"/>
      <c r="M17" s="762"/>
      <c r="N17" s="808" t="str">
        <f t="shared" si="21"/>
        <v/>
      </c>
      <c r="O17" s="846"/>
      <c r="P17" s="847"/>
      <c r="Q17" s="762"/>
      <c r="R17" s="762"/>
      <c r="S17" s="808" t="str">
        <f t="shared" si="22"/>
        <v/>
      </c>
      <c r="T17" s="850"/>
      <c r="U17" s="847"/>
      <c r="V17" s="762"/>
      <c r="W17" s="762"/>
      <c r="X17" s="830" t="str">
        <f t="shared" si="23"/>
        <v/>
      </c>
      <c r="Y17" s="246"/>
      <c r="Z17" s="284" t="str" cm="1">
        <f t="array" ref="Z17">IF((_xlfn.IFS(TRIM(SUBSTITUTE(Y17,CHAR(160),""))="Devis 1",IFERROR(VALUE(TRIM(SUBSTITUTE(L17,CHAR(160),""))),0),TRIM(SUBSTITUTE(Y17,CHAR(160),""))="Devis 2",IFERROR(VALUE(TRIM(SUBSTITUTE(Q17,CHAR(160),""))),0),TRIM(SUBSTITUTE(Y17,CHAR(160),""))="Devis 3",IFERROR(VALUE(TRIM(SUBSTITUTE(V17,CHAR(160),""))),0),TRUE,0)*IFERROR(VALUE(TRIM(SUBSTITUTE(C17,CHAR(160),""))),0))=0,"",_xlfn.IFS(TRIM(SUBSTITUTE(Y17,CHAR(160),""))="Devis 1",IFERROR(VALUE(TRIM(SUBSTITUTE(L17,CHAR(160),""))),0),TRIM(SUBSTITUTE(Y17,CHAR(160),""))="Devis 2",IFERROR(VALUE(TRIM(SUBSTITUTE(Q17,CHAR(160),""))),0),TRIM(SUBSTITUTE(Y17,CHAR(160),""))="Devis 3",IFERROR(VALUE(TRIM(SUBSTITUTE(V17,CHAR(160),""))),0),TRUE,0)*IFERROR(VALUE(TRIM(SUBSTITUTE(C17,CHAR(160),""))),0))</f>
        <v/>
      </c>
      <c r="AA17" s="275" t="str" cm="1">
        <f t="array" ref="AA17">IF((_xlfn.IFS(TRIM(SUBSTITUTE(Y17,CHAR(160),""))="Devis 1",IFERROR(VALUE(TRIM(SUBSTITUTE(M17,CHAR(160),""))),0),TRIM(SUBSTITUTE(Y17,CHAR(160),""))="Devis 2",IFERROR(VALUE(TRIM(SUBSTITUTE(R17,CHAR(160),""))),0),TRIM(SUBSTITUTE(Y17,CHAR(160),""))="Devis 3",IFERROR(VALUE(TRIM(SUBSTITUTE(W17,CHAR(160),""))),0),TRUE,0)*IFERROR(VALUE(TRIM(SUBSTITUTE(C17,CHAR(160),""))),0))=0,IF(Z17&lt;&gt;"",0,""),_xlfn.IFS(TRIM(SUBSTITUTE(Y17,CHAR(160),""))="Devis 1",IFERROR(VALUE(TRIM(SUBSTITUTE(M17,CHAR(160),""))),0),TRIM(SUBSTITUTE(Y17,CHAR(160),""))="Devis 2",IFERROR(VALUE(TRIM(SUBSTITUTE(R17,CHAR(160),""))),0),TRIM(SUBSTITUTE(Y17,CHAR(160),""))="Devis 3",IFERROR(VALUE(TRIM(SUBSTITUTE(W17,CHAR(160),""))),0),TRUE,0)*IFERROR(VALUE(TRIM(SUBSTITUTE(C17,CHAR(160),""))),0))</f>
        <v/>
      </c>
      <c r="AB17" s="285" t="str">
        <f t="shared" si="24"/>
        <v/>
      </c>
      <c r="AC17" s="209"/>
      <c r="AD17" s="747" t="str">
        <f t="shared" si="0"/>
        <v/>
      </c>
      <c r="AE17" s="747" t="str">
        <f t="shared" si="1"/>
        <v/>
      </c>
      <c r="AF17" s="747" t="str">
        <f t="shared" si="2"/>
        <v/>
      </c>
      <c r="AG17" s="747" t="str">
        <f t="shared" si="3"/>
        <v/>
      </c>
      <c r="AH17" s="747" t="str">
        <f t="shared" si="4"/>
        <v/>
      </c>
      <c r="AI17" s="747" t="str">
        <f t="shared" si="25"/>
        <v/>
      </c>
      <c r="AJ17" s="776" t="str">
        <f t="shared" si="26"/>
        <v/>
      </c>
      <c r="AK17" s="776" t="str">
        <f t="shared" si="27"/>
        <v/>
      </c>
      <c r="AL17" s="802" t="str">
        <f t="shared" si="28"/>
        <v/>
      </c>
      <c r="AM17" s="747" t="str">
        <f t="shared" si="29"/>
        <v/>
      </c>
      <c r="AN17" s="771" t="str">
        <f t="shared" si="30"/>
        <v/>
      </c>
      <c r="AO17" s="771" t="str">
        <f t="shared" si="31"/>
        <v/>
      </c>
      <c r="AP17" s="808" t="str">
        <f t="shared" si="32"/>
        <v/>
      </c>
      <c r="AQ17" s="819" t="str">
        <f t="shared" si="33"/>
        <v/>
      </c>
      <c r="AR17" s="771" t="str">
        <f t="shared" si="34"/>
        <v/>
      </c>
      <c r="AS17" s="771" t="str">
        <f t="shared" si="35"/>
        <v/>
      </c>
      <c r="AT17" s="771" t="str">
        <f t="shared" si="36"/>
        <v/>
      </c>
      <c r="AU17" s="808" t="str">
        <f t="shared" si="37"/>
        <v/>
      </c>
      <c r="AV17" s="842" t="str">
        <f t="shared" si="38"/>
        <v/>
      </c>
      <c r="AW17" s="771" t="str">
        <f t="shared" si="39"/>
        <v/>
      </c>
      <c r="AX17" s="771" t="str">
        <f t="shared" si="40"/>
        <v/>
      </c>
      <c r="AY17" s="771" t="str">
        <f t="shared" si="41"/>
        <v/>
      </c>
      <c r="AZ17" s="831" t="str">
        <f t="shared" si="42"/>
        <v/>
      </c>
      <c r="BA17" s="835" t="str">
        <f t="shared" si="43"/>
        <v/>
      </c>
      <c r="BB17" s="772"/>
      <c r="BC17" s="275" t="str">
        <f t="shared" si="44"/>
        <v/>
      </c>
      <c r="BD17" s="275" t="str">
        <f t="shared" si="45"/>
        <v/>
      </c>
      <c r="BE17" s="886" t="str">
        <f t="shared" si="46"/>
        <v/>
      </c>
      <c r="BF17" s="873" t="str" cm="1">
        <f t="array" ref="BF17">IF($AE17="","",
_xlfn.IFS(
$BA17="Devis 1",
IF(ISBLANK(AN17),"",IFERROR(VALUE(TRIM(SUBSTITUTE(AN17,CHAR(160),""))),0)*IFERROR(VALUE(TRIM(SUBSTITUTE($AE17,CHAR(160),""))),0)),
$BA17="Devis 2",
IF(ISBLANK(AS17),"",IFERROR(VALUE(TRIM(SUBSTITUTE(AS17,CHAR(160),""))),0)*IFERROR(VALUE(TRIM(SUBSTITUTE($AE17,CHAR(160),""))),0)),
$BA17="Devis 3",
IF(ISBLANK(AX17),"",IFERROR(VALUE(TRIM(SUBSTITUTE(AX17,CHAR(160),""))),0)*IFERROR(VALUE(TRIM(SUBSTITUTE($AE17,CHAR(160),""))),0)),
TRUE,0
)
)</f>
        <v/>
      </c>
      <c r="BG17" s="873" t="str" cm="1">
        <f t="array" ref="BG17">IF($AE17="","",
_xlfn.IFS(
$BA17="Devis 1",
IF(ISBLANK(AO17),"",IFERROR(VALUE(TRIM(SUBSTITUTE(AO17,CHAR(160),""))),0)*IFERROR(VALUE(TRIM(SUBSTITUTE($AE17,CHAR(160),""))),0)),
$BA17="Devis 2",
IF(ISBLANK(AT17),"",IFERROR(VALUE(TRIM(SUBSTITUTE(AT17,CHAR(160),""))),0)*IFERROR(VALUE(TRIM(SUBSTITUTE($AE17,CHAR(160),""))),0)),
$BA17="Devis 3",
IF(ISBLANK(AY17),"",IFERROR(VALUE(TRIM(SUBSTITUTE(AY17,CHAR(160),""))),0)*IFERROR(VALUE(TRIM(SUBSTITUTE($AE17,CHAR(160),""))),0)),
TRUE,0
)
)</f>
        <v/>
      </c>
      <c r="BH17" s="874" t="str">
        <f t="shared" si="47"/>
        <v/>
      </c>
      <c r="BI17" s="866"/>
      <c r="BJ17" s="774" t="str" cm="1">
        <f t="array" ref="BJ17">IF(OR(BH17="",BE17="",BF17="",BC17="",BG17="",BD17=""),"",_xlfn.IFS(
ROUND(IFERROR(VALUE(TRIM(SUBSTITUTE(BH17,CHAR(160),""))),0),2)&gt;
ROUND(IFERROR(VALUE(TRIM(SUBSTITUTE(BE17,CHAR(160),""))),0),2),
"KO : Le montant retenu TTC est supérieur au montant raisonnable TTC. Merci de revoir la ligne de dépense ou plafonner son montant.",
ROUND(IFERROR(VALUE(TRIM(SUBSTITUTE(BF17,CHAR(160),""))),0),2)&gt;
ROUND(IFERROR(VALUE(TRIM(SUBSTITUTE(BC17,CHAR(160),""))),0),2),
"Attention : Le montant retenu HT est supérieur au montant HT raisonnable. Merci de revoir la ligne de dépense, plafonner son montant, ou justifier la reventillation HT / TVA.",
ROUND(IFERROR(VALUE(TRIM(SUBSTITUTE(BG17,CHAR(160),""))),0),2)&gt;
ROUND(IFERROR(VALUE(TRIM(SUBSTITUTE(BD17,CHAR(160),""))),0),2),
"Attention : Le montant TVA retenu est supérieur au montant TVA raisonnable. Merci de revoir la ligne de dépense, plafonner son montant, ou justifier la reventillation HT / TVA.",
ROUND(IFERROR(VALUE(TRIM(SUBSTITUTE(BH17,CHAR(160),""))),0),2)&gt;
ROUND(IFERROR(VALUE(TRIM(SUBSTITUTE(MIN(N17,S17,X17),CHAR(160),""))),0),2),
"Attention : Le devis retenu n'est pas le moins cher. Une justification de la part du porteur est nécessaire.",
ROUND(IFERROR(VALUE(TRIM(SUBSTITUTE(BH17,CHAR(160),""))),0),2)=0,
"Attention : montant présenté entièrement écarté",
ROUND(IFERROR(VALUE(TRIM(SUBSTITUTE(BE17,CHAR(160),""))),0),2)=
ROUND(IFERROR(VALUE(TRIM(SUBSTITUTE(BH17,CHAR(160),""))),0),2),
"OK",
ROUND(IFERROR(VALUE(TRIM(SUBSTITUTE(BE17,CHAR(160),""))),0),2)&gt;
ROUND(IFERROR(VALUE(TRIM(SUBSTITUTE(BH17,CHAR(160),""))),0),2),
" OK : Montant instruit inférieur au montant raisonnable.",
TRUE,""
))</f>
        <v/>
      </c>
      <c r="BK17" s="774" t="str" cm="1">
        <f t="array" ref="BK17">IF(OR(BH17="",AB17="",BF17="",Z17="",BG17="",AA17=""),"",_xlfn.IFS(
ROUND(IFERROR(VALUE(TRIM(SUBSTITUTE(BH17,CHAR(160),""))),0),2)&gt;
ROUND(IFERROR(VALUE(TRIM(SUBSTITUTE(AB17,CHAR(160),""))),0),2),
"KO : Le montant retenu TTC est supérieur au montant présenté TTC. Merci de revoir la ligne de dépense ou plafonner son montant.",
ROUND(IFERROR(VALUE(TRIM(SUBSTITUTE(BF17,CHAR(160),""))),0),2)&gt;
ROUND(IFERROR(VALUE(TRIM(SUBSTITUTE(Z17,CHAR(160),""))),0),2),
"Attention : Le montant retenu HT est supérieur au montant HT présenté. Merci de revoir la ligne de dépense, plafonner son montant, ou justifier la reventillation HT / TVA.",
ROUND(IFERROR(VALUE(TRIM(SUBSTITUTE(BG17,CHAR(160),""))),0),2)&gt;
ROUND(IFERROR(VALUE(TRIM(SUBSTITUTE(AA17,CHAR(160),""))),0),2),
"Attention : Le montant TVA retenu est supérieur au montant TVA présenté. Merci de revoir la ligne de dépense, plafonner son montant, ou justifier la reventillation HT / TVA.",
ROUND(IFERROR(VALUE(TRIM(SUBSTITUTE(AB17,CHAR(160),""))),0),2)=0,
"",
ROUND(IFERROR(VALUE(TRIM(SUBSTITUTE(BH17,CHAR(160),""))),0),2)=
ROUND(IFERROR(VALUE(TRIM(SUBSTITUTE(AB17,CHAR(160),""))),0),2),
"OK",
ROUND(IFERROR(VALUE(TRIM(SUBSTITUTE(BH17,CHAR(160),""))),0),2)=0,
"Attention : Montant présenté entièrement rejeté.",
ROUND(IFERROR(VALUE(TRIM(SUBSTITUTE(BH17,CHAR(160),""))),0),2)&lt;
ROUND(IFERROR(VALUE(TRIM(SUBSTITUTE(AB17,CHAR(160),""))),0),2),
"Attention : Montant présenté partiellement rejeté.",
TRUE,""
))</f>
        <v/>
      </c>
      <c r="BL17" s="773" t="str">
        <f t="shared" si="48"/>
        <v/>
      </c>
      <c r="BM17" s="773" t="str">
        <f t="shared" si="49"/>
        <v/>
      </c>
      <c r="BN17" s="773" t="str">
        <f t="shared" si="50"/>
        <v/>
      </c>
    </row>
    <row r="18" spans="1:66" ht="15" customHeight="1">
      <c r="A18" s="193">
        <v>14</v>
      </c>
      <c r="B18" s="7"/>
      <c r="C18" s="9"/>
      <c r="D18" s="30"/>
      <c r="E18" s="36"/>
      <c r="F18" s="34"/>
      <c r="G18" s="35"/>
      <c r="H18" s="685"/>
      <c r="I18" s="786"/>
      <c r="J18" s="792"/>
      <c r="K18" s="758"/>
      <c r="L18" s="761"/>
      <c r="M18" s="762"/>
      <c r="N18" s="808" t="str">
        <f t="shared" si="21"/>
        <v/>
      </c>
      <c r="O18" s="846"/>
      <c r="P18" s="847"/>
      <c r="Q18" s="762"/>
      <c r="R18" s="762"/>
      <c r="S18" s="808" t="str">
        <f t="shared" si="22"/>
        <v/>
      </c>
      <c r="T18" s="850"/>
      <c r="U18" s="847"/>
      <c r="V18" s="762"/>
      <c r="W18" s="762"/>
      <c r="X18" s="830" t="str">
        <f t="shared" si="23"/>
        <v/>
      </c>
      <c r="Y18" s="246"/>
      <c r="Z18" s="284" t="str" cm="1">
        <f t="array" ref="Z18">IF((_xlfn.IFS(TRIM(SUBSTITUTE(Y18,CHAR(160),""))="Devis 1",IFERROR(VALUE(TRIM(SUBSTITUTE(L18,CHAR(160),""))),0),TRIM(SUBSTITUTE(Y18,CHAR(160),""))="Devis 2",IFERROR(VALUE(TRIM(SUBSTITUTE(Q18,CHAR(160),""))),0),TRIM(SUBSTITUTE(Y18,CHAR(160),""))="Devis 3",IFERROR(VALUE(TRIM(SUBSTITUTE(V18,CHAR(160),""))),0),TRUE,0)*IFERROR(VALUE(TRIM(SUBSTITUTE(C18,CHAR(160),""))),0))=0,"",_xlfn.IFS(TRIM(SUBSTITUTE(Y18,CHAR(160),""))="Devis 1",IFERROR(VALUE(TRIM(SUBSTITUTE(L18,CHAR(160),""))),0),TRIM(SUBSTITUTE(Y18,CHAR(160),""))="Devis 2",IFERROR(VALUE(TRIM(SUBSTITUTE(Q18,CHAR(160),""))),0),TRIM(SUBSTITUTE(Y18,CHAR(160),""))="Devis 3",IFERROR(VALUE(TRIM(SUBSTITUTE(V18,CHAR(160),""))),0),TRUE,0)*IFERROR(VALUE(TRIM(SUBSTITUTE(C18,CHAR(160),""))),0))</f>
        <v/>
      </c>
      <c r="AA18" s="275" t="str" cm="1">
        <f t="array" ref="AA18">IF((_xlfn.IFS(TRIM(SUBSTITUTE(Y18,CHAR(160),""))="Devis 1",IFERROR(VALUE(TRIM(SUBSTITUTE(M18,CHAR(160),""))),0),TRIM(SUBSTITUTE(Y18,CHAR(160),""))="Devis 2",IFERROR(VALUE(TRIM(SUBSTITUTE(R18,CHAR(160),""))),0),TRIM(SUBSTITUTE(Y18,CHAR(160),""))="Devis 3",IFERROR(VALUE(TRIM(SUBSTITUTE(W18,CHAR(160),""))),0),TRUE,0)*IFERROR(VALUE(TRIM(SUBSTITUTE(C18,CHAR(160),""))),0))=0,IF(Z18&lt;&gt;"",0,""),_xlfn.IFS(TRIM(SUBSTITUTE(Y18,CHAR(160),""))="Devis 1",IFERROR(VALUE(TRIM(SUBSTITUTE(M18,CHAR(160),""))),0),TRIM(SUBSTITUTE(Y18,CHAR(160),""))="Devis 2",IFERROR(VALUE(TRIM(SUBSTITUTE(R18,CHAR(160),""))),0),TRIM(SUBSTITUTE(Y18,CHAR(160),""))="Devis 3",IFERROR(VALUE(TRIM(SUBSTITUTE(W18,CHAR(160),""))),0),TRUE,0)*IFERROR(VALUE(TRIM(SUBSTITUTE(C18,CHAR(160),""))),0))</f>
        <v/>
      </c>
      <c r="AB18" s="285" t="str">
        <f t="shared" si="24"/>
        <v/>
      </c>
      <c r="AC18" s="209"/>
      <c r="AD18" s="747" t="str">
        <f t="shared" si="0"/>
        <v/>
      </c>
      <c r="AE18" s="747" t="str">
        <f t="shared" si="1"/>
        <v/>
      </c>
      <c r="AF18" s="747" t="str">
        <f t="shared" si="2"/>
        <v/>
      </c>
      <c r="AG18" s="747" t="str">
        <f t="shared" si="3"/>
        <v/>
      </c>
      <c r="AH18" s="747" t="str">
        <f t="shared" si="4"/>
        <v/>
      </c>
      <c r="AI18" s="747" t="str">
        <f t="shared" si="25"/>
        <v/>
      </c>
      <c r="AJ18" s="776" t="str">
        <f t="shared" si="26"/>
        <v/>
      </c>
      <c r="AK18" s="776" t="str">
        <f t="shared" si="27"/>
        <v/>
      </c>
      <c r="AL18" s="802" t="str">
        <f t="shared" si="28"/>
        <v/>
      </c>
      <c r="AM18" s="747" t="str">
        <f t="shared" si="29"/>
        <v/>
      </c>
      <c r="AN18" s="771" t="str">
        <f t="shared" si="30"/>
        <v/>
      </c>
      <c r="AO18" s="771" t="str">
        <f t="shared" si="31"/>
        <v/>
      </c>
      <c r="AP18" s="808" t="str">
        <f t="shared" si="32"/>
        <v/>
      </c>
      <c r="AQ18" s="819" t="str">
        <f t="shared" si="33"/>
        <v/>
      </c>
      <c r="AR18" s="771" t="str">
        <f t="shared" si="34"/>
        <v/>
      </c>
      <c r="AS18" s="771" t="str">
        <f t="shared" si="35"/>
        <v/>
      </c>
      <c r="AT18" s="771" t="str">
        <f t="shared" si="36"/>
        <v/>
      </c>
      <c r="AU18" s="808" t="str">
        <f t="shared" si="37"/>
        <v/>
      </c>
      <c r="AV18" s="842" t="str">
        <f t="shared" si="38"/>
        <v/>
      </c>
      <c r="AW18" s="771" t="str">
        <f t="shared" si="39"/>
        <v/>
      </c>
      <c r="AX18" s="771" t="str">
        <f t="shared" si="40"/>
        <v/>
      </c>
      <c r="AY18" s="771" t="str">
        <f t="shared" si="41"/>
        <v/>
      </c>
      <c r="AZ18" s="831" t="str">
        <f t="shared" si="42"/>
        <v/>
      </c>
      <c r="BA18" s="835" t="str">
        <f t="shared" si="43"/>
        <v/>
      </c>
      <c r="BB18" s="772"/>
      <c r="BC18" s="275" t="str">
        <f t="shared" si="44"/>
        <v/>
      </c>
      <c r="BD18" s="275" t="str">
        <f t="shared" si="45"/>
        <v/>
      </c>
      <c r="BE18" s="886" t="str">
        <f t="shared" si="46"/>
        <v/>
      </c>
      <c r="BF18" s="873" t="str" cm="1">
        <f t="array" ref="BF18">IF($AE18="","",
_xlfn.IFS(
$BA18="Devis 1",
IF(ISBLANK(AN18),"",IFERROR(VALUE(TRIM(SUBSTITUTE(AN18,CHAR(160),""))),0)*IFERROR(VALUE(TRIM(SUBSTITUTE($AE18,CHAR(160),""))),0)),
$BA18="Devis 2",
IF(ISBLANK(AS18),"",IFERROR(VALUE(TRIM(SUBSTITUTE(AS18,CHAR(160),""))),0)*IFERROR(VALUE(TRIM(SUBSTITUTE($AE18,CHAR(160),""))),0)),
$BA18="Devis 3",
IF(ISBLANK(AX18),"",IFERROR(VALUE(TRIM(SUBSTITUTE(AX18,CHAR(160),""))),0)*IFERROR(VALUE(TRIM(SUBSTITUTE($AE18,CHAR(160),""))),0)),
TRUE,0
)
)</f>
        <v/>
      </c>
      <c r="BG18" s="873" t="str" cm="1">
        <f t="array" ref="BG18">IF($AE18="","",
_xlfn.IFS(
$BA18="Devis 1",
IF(ISBLANK(AO18),"",IFERROR(VALUE(TRIM(SUBSTITUTE(AO18,CHAR(160),""))),0)*IFERROR(VALUE(TRIM(SUBSTITUTE($AE18,CHAR(160),""))),0)),
$BA18="Devis 2",
IF(ISBLANK(AT18),"",IFERROR(VALUE(TRIM(SUBSTITUTE(AT18,CHAR(160),""))),0)*IFERROR(VALUE(TRIM(SUBSTITUTE($AE18,CHAR(160),""))),0)),
$BA18="Devis 3",
IF(ISBLANK(AY18),"",IFERROR(VALUE(TRIM(SUBSTITUTE(AY18,CHAR(160),""))),0)*IFERROR(VALUE(TRIM(SUBSTITUTE($AE18,CHAR(160),""))),0)),
TRUE,0
)
)</f>
        <v/>
      </c>
      <c r="BH18" s="874" t="str">
        <f t="shared" si="47"/>
        <v/>
      </c>
      <c r="BI18" s="866"/>
      <c r="BJ18" s="774" t="str" cm="1">
        <f t="array" ref="BJ18">IF(OR(BH18="",BE18="",BF18="",BC18="",BG18="",BD18=""),"",_xlfn.IFS(
ROUND(IFERROR(VALUE(TRIM(SUBSTITUTE(BH18,CHAR(160),""))),0),2)&gt;
ROUND(IFERROR(VALUE(TRIM(SUBSTITUTE(BE18,CHAR(160),""))),0),2),
"KO : Le montant retenu TTC est supérieur au montant raisonnable TTC. Merci de revoir la ligne de dépense ou plafonner son montant.",
ROUND(IFERROR(VALUE(TRIM(SUBSTITUTE(BF18,CHAR(160),""))),0),2)&gt;
ROUND(IFERROR(VALUE(TRIM(SUBSTITUTE(BC18,CHAR(160),""))),0),2),
"Attention : Le montant retenu HT est supérieur au montant HT raisonnable. Merci de revoir la ligne de dépense, plafonner son montant, ou justifier la reventillation HT / TVA.",
ROUND(IFERROR(VALUE(TRIM(SUBSTITUTE(BG18,CHAR(160),""))),0),2)&gt;
ROUND(IFERROR(VALUE(TRIM(SUBSTITUTE(BD18,CHAR(160),""))),0),2),
"Attention : Le montant TVA retenu est supérieur au montant TVA raisonnable. Merci de revoir la ligne de dépense, plafonner son montant, ou justifier la reventillation HT / TVA.",
ROUND(IFERROR(VALUE(TRIM(SUBSTITUTE(BH18,CHAR(160),""))),0),2)&gt;
ROUND(IFERROR(VALUE(TRIM(SUBSTITUTE(MIN(N18,S18,X18),CHAR(160),""))),0),2),
"Attention : Le devis retenu n'est pas le moins cher. Une justification de la part du porteur est nécessaire.",
ROUND(IFERROR(VALUE(TRIM(SUBSTITUTE(BH18,CHAR(160),""))),0),2)=0,
"Attention : montant présenté entièrement écarté",
ROUND(IFERROR(VALUE(TRIM(SUBSTITUTE(BE18,CHAR(160),""))),0),2)=
ROUND(IFERROR(VALUE(TRIM(SUBSTITUTE(BH18,CHAR(160),""))),0),2),
"OK",
ROUND(IFERROR(VALUE(TRIM(SUBSTITUTE(BE18,CHAR(160),""))),0),2)&gt;
ROUND(IFERROR(VALUE(TRIM(SUBSTITUTE(BH18,CHAR(160),""))),0),2),
" OK : Montant instruit inférieur au montant raisonnable.",
TRUE,""
))</f>
        <v/>
      </c>
      <c r="BK18" s="774" t="str" cm="1">
        <f t="array" ref="BK18">IF(OR(BH18="",AB18="",BF18="",Z18="",BG18="",AA18=""),"",_xlfn.IFS(
ROUND(IFERROR(VALUE(TRIM(SUBSTITUTE(BH18,CHAR(160),""))),0),2)&gt;
ROUND(IFERROR(VALUE(TRIM(SUBSTITUTE(AB18,CHAR(160),""))),0),2),
"KO : Le montant retenu TTC est supérieur au montant présenté TTC. Merci de revoir la ligne de dépense ou plafonner son montant.",
ROUND(IFERROR(VALUE(TRIM(SUBSTITUTE(BF18,CHAR(160),""))),0),2)&gt;
ROUND(IFERROR(VALUE(TRIM(SUBSTITUTE(Z18,CHAR(160),""))),0),2),
"Attention : Le montant retenu HT est supérieur au montant HT présenté. Merci de revoir la ligne de dépense, plafonner son montant, ou justifier la reventillation HT / TVA.",
ROUND(IFERROR(VALUE(TRIM(SUBSTITUTE(BG18,CHAR(160),""))),0),2)&gt;
ROUND(IFERROR(VALUE(TRIM(SUBSTITUTE(AA18,CHAR(160),""))),0),2),
"Attention : Le montant TVA retenu est supérieur au montant TVA présenté. Merci de revoir la ligne de dépense, plafonner son montant, ou justifier la reventillation HT / TVA.",
ROUND(IFERROR(VALUE(TRIM(SUBSTITUTE(AB18,CHAR(160),""))),0),2)=0,
"",
ROUND(IFERROR(VALUE(TRIM(SUBSTITUTE(BH18,CHAR(160),""))),0),2)=
ROUND(IFERROR(VALUE(TRIM(SUBSTITUTE(AB18,CHAR(160),""))),0),2),
"OK",
ROUND(IFERROR(VALUE(TRIM(SUBSTITUTE(BH18,CHAR(160),""))),0),2)=0,
"Attention : Montant présenté entièrement rejeté.",
ROUND(IFERROR(VALUE(TRIM(SUBSTITUTE(BH18,CHAR(160),""))),0),2)&lt;
ROUND(IFERROR(VALUE(TRIM(SUBSTITUTE(AB18,CHAR(160),""))),0),2),
"Attention : Montant présenté partiellement rejeté.",
TRUE,""
))</f>
        <v/>
      </c>
      <c r="BL18" s="773" t="str">
        <f t="shared" si="48"/>
        <v/>
      </c>
      <c r="BM18" s="773" t="str">
        <f t="shared" si="49"/>
        <v/>
      </c>
      <c r="BN18" s="773" t="str">
        <f t="shared" si="50"/>
        <v/>
      </c>
    </row>
    <row r="19" spans="1:66" ht="15" customHeight="1">
      <c r="A19" s="193">
        <v>15</v>
      </c>
      <c r="B19" s="7"/>
      <c r="C19" s="9"/>
      <c r="D19" s="30"/>
      <c r="E19" s="36"/>
      <c r="F19" s="34"/>
      <c r="G19" s="35"/>
      <c r="H19" s="685"/>
      <c r="I19" s="786"/>
      <c r="J19" s="792"/>
      <c r="K19" s="758"/>
      <c r="L19" s="761"/>
      <c r="M19" s="762"/>
      <c r="N19" s="808" t="str">
        <f t="shared" si="21"/>
        <v/>
      </c>
      <c r="O19" s="846"/>
      <c r="P19" s="847"/>
      <c r="Q19" s="762"/>
      <c r="R19" s="762"/>
      <c r="S19" s="808" t="str">
        <f t="shared" si="22"/>
        <v/>
      </c>
      <c r="T19" s="850"/>
      <c r="U19" s="847"/>
      <c r="V19" s="762"/>
      <c r="W19" s="762"/>
      <c r="X19" s="830" t="str">
        <f t="shared" si="23"/>
        <v/>
      </c>
      <c r="Y19" s="246"/>
      <c r="Z19" s="284" t="str" cm="1">
        <f t="array" ref="Z19">IF((_xlfn.IFS(TRIM(SUBSTITUTE(Y19,CHAR(160),""))="Devis 1",IFERROR(VALUE(TRIM(SUBSTITUTE(L19,CHAR(160),""))),0),TRIM(SUBSTITUTE(Y19,CHAR(160),""))="Devis 2",IFERROR(VALUE(TRIM(SUBSTITUTE(Q19,CHAR(160),""))),0),TRIM(SUBSTITUTE(Y19,CHAR(160),""))="Devis 3",IFERROR(VALUE(TRIM(SUBSTITUTE(V19,CHAR(160),""))),0),TRUE,0)*IFERROR(VALUE(TRIM(SUBSTITUTE(C19,CHAR(160),""))),0))=0,"",_xlfn.IFS(TRIM(SUBSTITUTE(Y19,CHAR(160),""))="Devis 1",IFERROR(VALUE(TRIM(SUBSTITUTE(L19,CHAR(160),""))),0),TRIM(SUBSTITUTE(Y19,CHAR(160),""))="Devis 2",IFERROR(VALUE(TRIM(SUBSTITUTE(Q19,CHAR(160),""))),0),TRIM(SUBSTITUTE(Y19,CHAR(160),""))="Devis 3",IFERROR(VALUE(TRIM(SUBSTITUTE(V19,CHAR(160),""))),0),TRUE,0)*IFERROR(VALUE(TRIM(SUBSTITUTE(C19,CHAR(160),""))),0))</f>
        <v/>
      </c>
      <c r="AA19" s="275" t="str" cm="1">
        <f t="array" ref="AA19">IF((_xlfn.IFS(TRIM(SUBSTITUTE(Y19,CHAR(160),""))="Devis 1",IFERROR(VALUE(TRIM(SUBSTITUTE(M19,CHAR(160),""))),0),TRIM(SUBSTITUTE(Y19,CHAR(160),""))="Devis 2",IFERROR(VALUE(TRIM(SUBSTITUTE(R19,CHAR(160),""))),0),TRIM(SUBSTITUTE(Y19,CHAR(160),""))="Devis 3",IFERROR(VALUE(TRIM(SUBSTITUTE(W19,CHAR(160),""))),0),TRUE,0)*IFERROR(VALUE(TRIM(SUBSTITUTE(C19,CHAR(160),""))),0))=0,IF(Z19&lt;&gt;"",0,""),_xlfn.IFS(TRIM(SUBSTITUTE(Y19,CHAR(160),""))="Devis 1",IFERROR(VALUE(TRIM(SUBSTITUTE(M19,CHAR(160),""))),0),TRIM(SUBSTITUTE(Y19,CHAR(160),""))="Devis 2",IFERROR(VALUE(TRIM(SUBSTITUTE(R19,CHAR(160),""))),0),TRIM(SUBSTITUTE(Y19,CHAR(160),""))="Devis 3",IFERROR(VALUE(TRIM(SUBSTITUTE(W19,CHAR(160),""))),0),TRUE,0)*IFERROR(VALUE(TRIM(SUBSTITUTE(C19,CHAR(160),""))),0))</f>
        <v/>
      </c>
      <c r="AB19" s="285" t="str">
        <f t="shared" si="24"/>
        <v/>
      </c>
      <c r="AC19" s="209"/>
      <c r="AD19" s="747" t="str">
        <f t="shared" si="0"/>
        <v/>
      </c>
      <c r="AE19" s="747" t="str">
        <f t="shared" si="1"/>
        <v/>
      </c>
      <c r="AF19" s="747" t="str">
        <f t="shared" si="2"/>
        <v/>
      </c>
      <c r="AG19" s="747" t="str">
        <f t="shared" si="3"/>
        <v/>
      </c>
      <c r="AH19" s="747" t="str">
        <f t="shared" si="4"/>
        <v/>
      </c>
      <c r="AI19" s="747" t="str">
        <f t="shared" si="25"/>
        <v/>
      </c>
      <c r="AJ19" s="776" t="str">
        <f t="shared" si="26"/>
        <v/>
      </c>
      <c r="AK19" s="776" t="str">
        <f t="shared" si="27"/>
        <v/>
      </c>
      <c r="AL19" s="802" t="str">
        <f t="shared" si="28"/>
        <v/>
      </c>
      <c r="AM19" s="747" t="str">
        <f t="shared" si="29"/>
        <v/>
      </c>
      <c r="AN19" s="771" t="str">
        <f t="shared" si="30"/>
        <v/>
      </c>
      <c r="AO19" s="771" t="str">
        <f t="shared" si="31"/>
        <v/>
      </c>
      <c r="AP19" s="808" t="str">
        <f t="shared" si="32"/>
        <v/>
      </c>
      <c r="AQ19" s="819" t="str">
        <f t="shared" si="33"/>
        <v/>
      </c>
      <c r="AR19" s="771" t="str">
        <f t="shared" si="34"/>
        <v/>
      </c>
      <c r="AS19" s="771" t="str">
        <f t="shared" si="35"/>
        <v/>
      </c>
      <c r="AT19" s="771" t="str">
        <f t="shared" si="36"/>
        <v/>
      </c>
      <c r="AU19" s="808" t="str">
        <f t="shared" si="37"/>
        <v/>
      </c>
      <c r="AV19" s="842" t="str">
        <f t="shared" si="38"/>
        <v/>
      </c>
      <c r="AW19" s="771" t="str">
        <f t="shared" si="39"/>
        <v/>
      </c>
      <c r="AX19" s="771" t="str">
        <f t="shared" si="40"/>
        <v/>
      </c>
      <c r="AY19" s="771" t="str">
        <f t="shared" si="41"/>
        <v/>
      </c>
      <c r="AZ19" s="831" t="str">
        <f t="shared" si="42"/>
        <v/>
      </c>
      <c r="BA19" s="835" t="str">
        <f t="shared" si="43"/>
        <v/>
      </c>
      <c r="BB19" s="772"/>
      <c r="BC19" s="275" t="str">
        <f t="shared" si="44"/>
        <v/>
      </c>
      <c r="BD19" s="275" t="str">
        <f t="shared" si="45"/>
        <v/>
      </c>
      <c r="BE19" s="886" t="str">
        <f t="shared" si="46"/>
        <v/>
      </c>
      <c r="BF19" s="873" t="str" cm="1">
        <f t="array" ref="BF19">IF($AE19="","",
_xlfn.IFS(
$BA19="Devis 1",
IF(ISBLANK(AN19),"",IFERROR(VALUE(TRIM(SUBSTITUTE(AN19,CHAR(160),""))),0)*IFERROR(VALUE(TRIM(SUBSTITUTE($AE19,CHAR(160),""))),0)),
$BA19="Devis 2",
IF(ISBLANK(AS19),"",IFERROR(VALUE(TRIM(SUBSTITUTE(AS19,CHAR(160),""))),0)*IFERROR(VALUE(TRIM(SUBSTITUTE($AE19,CHAR(160),""))),0)),
$BA19="Devis 3",
IF(ISBLANK(AX19),"",IFERROR(VALUE(TRIM(SUBSTITUTE(AX19,CHAR(160),""))),0)*IFERROR(VALUE(TRIM(SUBSTITUTE($AE19,CHAR(160),""))),0)),
TRUE,0
)
)</f>
        <v/>
      </c>
      <c r="BG19" s="873" t="str" cm="1">
        <f t="array" ref="BG19">IF($AE19="","",
_xlfn.IFS(
$BA19="Devis 1",
IF(ISBLANK(AO19),"",IFERROR(VALUE(TRIM(SUBSTITUTE(AO19,CHAR(160),""))),0)*IFERROR(VALUE(TRIM(SUBSTITUTE($AE19,CHAR(160),""))),0)),
$BA19="Devis 2",
IF(ISBLANK(AT19),"",IFERROR(VALUE(TRIM(SUBSTITUTE(AT19,CHAR(160),""))),0)*IFERROR(VALUE(TRIM(SUBSTITUTE($AE19,CHAR(160),""))),0)),
$BA19="Devis 3",
IF(ISBLANK(AY19),"",IFERROR(VALUE(TRIM(SUBSTITUTE(AY19,CHAR(160),""))),0)*IFERROR(VALUE(TRIM(SUBSTITUTE($AE19,CHAR(160),""))),0)),
TRUE,0
)
)</f>
        <v/>
      </c>
      <c r="BH19" s="874" t="str">
        <f t="shared" si="47"/>
        <v/>
      </c>
      <c r="BI19" s="866"/>
      <c r="BJ19" s="774" t="str" cm="1">
        <f t="array" ref="BJ19">IF(OR(BH19="",BE19="",BF19="",BC19="",BG19="",BD19=""),"",_xlfn.IFS(
ROUND(IFERROR(VALUE(TRIM(SUBSTITUTE(BH19,CHAR(160),""))),0),2)&gt;
ROUND(IFERROR(VALUE(TRIM(SUBSTITUTE(BE19,CHAR(160),""))),0),2),
"KO : Le montant retenu TTC est supérieur au montant raisonnable TTC. Merci de revoir la ligne de dépense ou plafonner son montant.",
ROUND(IFERROR(VALUE(TRIM(SUBSTITUTE(BF19,CHAR(160),""))),0),2)&gt;
ROUND(IFERROR(VALUE(TRIM(SUBSTITUTE(BC19,CHAR(160),""))),0),2),
"Attention : Le montant retenu HT est supérieur au montant HT raisonnable. Merci de revoir la ligne de dépense, plafonner son montant, ou justifier la reventillation HT / TVA.",
ROUND(IFERROR(VALUE(TRIM(SUBSTITUTE(BG19,CHAR(160),""))),0),2)&gt;
ROUND(IFERROR(VALUE(TRIM(SUBSTITUTE(BD19,CHAR(160),""))),0),2),
"Attention : Le montant TVA retenu est supérieur au montant TVA raisonnable. Merci de revoir la ligne de dépense, plafonner son montant, ou justifier la reventillation HT / TVA.",
ROUND(IFERROR(VALUE(TRIM(SUBSTITUTE(BH19,CHAR(160),""))),0),2)&gt;
ROUND(IFERROR(VALUE(TRIM(SUBSTITUTE(MIN(N19,S19,X19),CHAR(160),""))),0),2),
"Attention : Le devis retenu n'est pas le moins cher. Une justification de la part du porteur est nécessaire.",
ROUND(IFERROR(VALUE(TRIM(SUBSTITUTE(BH19,CHAR(160),""))),0),2)=0,
"Attention : montant présenté entièrement écarté",
ROUND(IFERROR(VALUE(TRIM(SUBSTITUTE(BE19,CHAR(160),""))),0),2)=
ROUND(IFERROR(VALUE(TRIM(SUBSTITUTE(BH19,CHAR(160),""))),0),2),
"OK",
ROUND(IFERROR(VALUE(TRIM(SUBSTITUTE(BE19,CHAR(160),""))),0),2)&gt;
ROUND(IFERROR(VALUE(TRIM(SUBSTITUTE(BH19,CHAR(160),""))),0),2),
" OK : Montant instruit inférieur au montant raisonnable.",
TRUE,""
))</f>
        <v/>
      </c>
      <c r="BK19" s="774" t="str" cm="1">
        <f t="array" ref="BK19">IF(OR(BH19="",AB19="",BF19="",Z19="",BG19="",AA19=""),"",_xlfn.IFS(
ROUND(IFERROR(VALUE(TRIM(SUBSTITUTE(BH19,CHAR(160),""))),0),2)&gt;
ROUND(IFERROR(VALUE(TRIM(SUBSTITUTE(AB19,CHAR(160),""))),0),2),
"KO : Le montant retenu TTC est supérieur au montant présenté TTC. Merci de revoir la ligne de dépense ou plafonner son montant.",
ROUND(IFERROR(VALUE(TRIM(SUBSTITUTE(BF19,CHAR(160),""))),0),2)&gt;
ROUND(IFERROR(VALUE(TRIM(SUBSTITUTE(Z19,CHAR(160),""))),0),2),
"Attention : Le montant retenu HT est supérieur au montant HT présenté. Merci de revoir la ligne de dépense, plafonner son montant, ou justifier la reventillation HT / TVA.",
ROUND(IFERROR(VALUE(TRIM(SUBSTITUTE(BG19,CHAR(160),""))),0),2)&gt;
ROUND(IFERROR(VALUE(TRIM(SUBSTITUTE(AA19,CHAR(160),""))),0),2),
"Attention : Le montant TVA retenu est supérieur au montant TVA présenté. Merci de revoir la ligne de dépense, plafonner son montant, ou justifier la reventillation HT / TVA.",
ROUND(IFERROR(VALUE(TRIM(SUBSTITUTE(AB19,CHAR(160),""))),0),2)=0,
"",
ROUND(IFERROR(VALUE(TRIM(SUBSTITUTE(BH19,CHAR(160),""))),0),2)=
ROUND(IFERROR(VALUE(TRIM(SUBSTITUTE(AB19,CHAR(160),""))),0),2),
"OK",
ROUND(IFERROR(VALUE(TRIM(SUBSTITUTE(BH19,CHAR(160),""))),0),2)=0,
"Attention : Montant présenté entièrement rejeté.",
ROUND(IFERROR(VALUE(TRIM(SUBSTITUTE(BH19,CHAR(160),""))),0),2)&lt;
ROUND(IFERROR(VALUE(TRIM(SUBSTITUTE(AB19,CHAR(160),""))),0),2),
"Attention : Montant présenté partiellement rejeté.",
TRUE,""
))</f>
        <v/>
      </c>
      <c r="BL19" s="773" t="str">
        <f t="shared" si="48"/>
        <v/>
      </c>
      <c r="BM19" s="773" t="str">
        <f t="shared" si="49"/>
        <v/>
      </c>
      <c r="BN19" s="773" t="str">
        <f t="shared" si="50"/>
        <v/>
      </c>
    </row>
    <row r="20" spans="1:66" ht="15" customHeight="1">
      <c r="A20" s="193">
        <v>16</v>
      </c>
      <c r="B20" s="7"/>
      <c r="C20" s="9"/>
      <c r="D20" s="30"/>
      <c r="E20" s="36"/>
      <c r="F20" s="34"/>
      <c r="G20" s="35"/>
      <c r="H20" s="685"/>
      <c r="I20" s="786"/>
      <c r="J20" s="792"/>
      <c r="K20" s="758"/>
      <c r="L20" s="761"/>
      <c r="M20" s="762"/>
      <c r="N20" s="808" t="str">
        <f t="shared" si="21"/>
        <v/>
      </c>
      <c r="O20" s="846"/>
      <c r="P20" s="847"/>
      <c r="Q20" s="762"/>
      <c r="R20" s="762"/>
      <c r="S20" s="808" t="str">
        <f t="shared" si="22"/>
        <v/>
      </c>
      <c r="T20" s="850"/>
      <c r="U20" s="847"/>
      <c r="V20" s="762"/>
      <c r="W20" s="762"/>
      <c r="X20" s="830" t="str">
        <f t="shared" si="23"/>
        <v/>
      </c>
      <c r="Y20" s="246"/>
      <c r="Z20" s="284" t="str" cm="1">
        <f t="array" ref="Z20">IF((_xlfn.IFS(TRIM(SUBSTITUTE(Y20,CHAR(160),""))="Devis 1",IFERROR(VALUE(TRIM(SUBSTITUTE(L20,CHAR(160),""))),0),TRIM(SUBSTITUTE(Y20,CHAR(160),""))="Devis 2",IFERROR(VALUE(TRIM(SUBSTITUTE(Q20,CHAR(160),""))),0),TRIM(SUBSTITUTE(Y20,CHAR(160),""))="Devis 3",IFERROR(VALUE(TRIM(SUBSTITUTE(V20,CHAR(160),""))),0),TRUE,0)*IFERROR(VALUE(TRIM(SUBSTITUTE(C20,CHAR(160),""))),0))=0,"",_xlfn.IFS(TRIM(SUBSTITUTE(Y20,CHAR(160),""))="Devis 1",IFERROR(VALUE(TRIM(SUBSTITUTE(L20,CHAR(160),""))),0),TRIM(SUBSTITUTE(Y20,CHAR(160),""))="Devis 2",IFERROR(VALUE(TRIM(SUBSTITUTE(Q20,CHAR(160),""))),0),TRIM(SUBSTITUTE(Y20,CHAR(160),""))="Devis 3",IFERROR(VALUE(TRIM(SUBSTITUTE(V20,CHAR(160),""))),0),TRUE,0)*IFERROR(VALUE(TRIM(SUBSTITUTE(C20,CHAR(160),""))),0))</f>
        <v/>
      </c>
      <c r="AA20" s="275" t="str" cm="1">
        <f t="array" ref="AA20">IF((_xlfn.IFS(TRIM(SUBSTITUTE(Y20,CHAR(160),""))="Devis 1",IFERROR(VALUE(TRIM(SUBSTITUTE(M20,CHAR(160),""))),0),TRIM(SUBSTITUTE(Y20,CHAR(160),""))="Devis 2",IFERROR(VALUE(TRIM(SUBSTITUTE(R20,CHAR(160),""))),0),TRIM(SUBSTITUTE(Y20,CHAR(160),""))="Devis 3",IFERROR(VALUE(TRIM(SUBSTITUTE(W20,CHAR(160),""))),0),TRUE,0)*IFERROR(VALUE(TRIM(SUBSTITUTE(C20,CHAR(160),""))),0))=0,IF(Z20&lt;&gt;"",0,""),_xlfn.IFS(TRIM(SUBSTITUTE(Y20,CHAR(160),""))="Devis 1",IFERROR(VALUE(TRIM(SUBSTITUTE(M20,CHAR(160),""))),0),TRIM(SUBSTITUTE(Y20,CHAR(160),""))="Devis 2",IFERROR(VALUE(TRIM(SUBSTITUTE(R20,CHAR(160),""))),0),TRIM(SUBSTITUTE(Y20,CHAR(160),""))="Devis 3",IFERROR(VALUE(TRIM(SUBSTITUTE(W20,CHAR(160),""))),0),TRUE,0)*IFERROR(VALUE(TRIM(SUBSTITUTE(C20,CHAR(160),""))),0))</f>
        <v/>
      </c>
      <c r="AB20" s="285" t="str">
        <f t="shared" si="24"/>
        <v/>
      </c>
      <c r="AC20" s="209"/>
      <c r="AD20" s="747" t="str">
        <f t="shared" si="0"/>
        <v/>
      </c>
      <c r="AE20" s="747" t="str">
        <f t="shared" si="1"/>
        <v/>
      </c>
      <c r="AF20" s="747" t="str">
        <f t="shared" si="2"/>
        <v/>
      </c>
      <c r="AG20" s="747" t="str">
        <f t="shared" si="3"/>
        <v/>
      </c>
      <c r="AH20" s="747" t="str">
        <f t="shared" si="4"/>
        <v/>
      </c>
      <c r="AI20" s="747" t="str">
        <f t="shared" si="25"/>
        <v/>
      </c>
      <c r="AJ20" s="776" t="str">
        <f t="shared" si="26"/>
        <v/>
      </c>
      <c r="AK20" s="776" t="str">
        <f t="shared" si="27"/>
        <v/>
      </c>
      <c r="AL20" s="802" t="str">
        <f t="shared" si="28"/>
        <v/>
      </c>
      <c r="AM20" s="747" t="str">
        <f t="shared" si="29"/>
        <v/>
      </c>
      <c r="AN20" s="771" t="str">
        <f t="shared" si="30"/>
        <v/>
      </c>
      <c r="AO20" s="771" t="str">
        <f t="shared" si="31"/>
        <v/>
      </c>
      <c r="AP20" s="808" t="str">
        <f t="shared" si="32"/>
        <v/>
      </c>
      <c r="AQ20" s="819" t="str">
        <f t="shared" si="33"/>
        <v/>
      </c>
      <c r="AR20" s="771" t="str">
        <f t="shared" si="34"/>
        <v/>
      </c>
      <c r="AS20" s="771" t="str">
        <f t="shared" si="35"/>
        <v/>
      </c>
      <c r="AT20" s="771" t="str">
        <f t="shared" si="36"/>
        <v/>
      </c>
      <c r="AU20" s="808" t="str">
        <f t="shared" si="37"/>
        <v/>
      </c>
      <c r="AV20" s="842" t="str">
        <f t="shared" si="38"/>
        <v/>
      </c>
      <c r="AW20" s="771" t="str">
        <f t="shared" si="39"/>
        <v/>
      </c>
      <c r="AX20" s="771" t="str">
        <f t="shared" si="40"/>
        <v/>
      </c>
      <c r="AY20" s="771" t="str">
        <f t="shared" si="41"/>
        <v/>
      </c>
      <c r="AZ20" s="831" t="str">
        <f t="shared" si="42"/>
        <v/>
      </c>
      <c r="BA20" s="835" t="str">
        <f t="shared" si="43"/>
        <v/>
      </c>
      <c r="BB20" s="772"/>
      <c r="BC20" s="275" t="str">
        <f t="shared" si="44"/>
        <v/>
      </c>
      <c r="BD20" s="275" t="str">
        <f t="shared" si="45"/>
        <v/>
      </c>
      <c r="BE20" s="886" t="str">
        <f t="shared" si="46"/>
        <v/>
      </c>
      <c r="BF20" s="873" t="str" cm="1">
        <f t="array" ref="BF20">IF($AE20="","",
_xlfn.IFS(
$BA20="Devis 1",
IF(ISBLANK(AN20),"",IFERROR(VALUE(TRIM(SUBSTITUTE(AN20,CHAR(160),""))),0)*IFERROR(VALUE(TRIM(SUBSTITUTE($AE20,CHAR(160),""))),0)),
$BA20="Devis 2",
IF(ISBLANK(AS20),"",IFERROR(VALUE(TRIM(SUBSTITUTE(AS20,CHAR(160),""))),0)*IFERROR(VALUE(TRIM(SUBSTITUTE($AE20,CHAR(160),""))),0)),
$BA20="Devis 3",
IF(ISBLANK(AX20),"",IFERROR(VALUE(TRIM(SUBSTITUTE(AX20,CHAR(160),""))),0)*IFERROR(VALUE(TRIM(SUBSTITUTE($AE20,CHAR(160),""))),0)),
TRUE,0
)
)</f>
        <v/>
      </c>
      <c r="BG20" s="873" t="str" cm="1">
        <f t="array" ref="BG20">IF($AE20="","",
_xlfn.IFS(
$BA20="Devis 1",
IF(ISBLANK(AO20),"",IFERROR(VALUE(TRIM(SUBSTITUTE(AO20,CHAR(160),""))),0)*IFERROR(VALUE(TRIM(SUBSTITUTE($AE20,CHAR(160),""))),0)),
$BA20="Devis 2",
IF(ISBLANK(AT20),"",IFERROR(VALUE(TRIM(SUBSTITUTE(AT20,CHAR(160),""))),0)*IFERROR(VALUE(TRIM(SUBSTITUTE($AE20,CHAR(160),""))),0)),
$BA20="Devis 3",
IF(ISBLANK(AY20),"",IFERROR(VALUE(TRIM(SUBSTITUTE(AY20,CHAR(160),""))),0)*IFERROR(VALUE(TRIM(SUBSTITUTE($AE20,CHAR(160),""))),0)),
TRUE,0
)
)</f>
        <v/>
      </c>
      <c r="BH20" s="874" t="str">
        <f t="shared" si="47"/>
        <v/>
      </c>
      <c r="BI20" s="866"/>
      <c r="BJ20" s="774" t="str" cm="1">
        <f t="array" ref="BJ20">IF(OR(BH20="",BE20="",BF20="",BC20="",BG20="",BD20=""),"",_xlfn.IFS(
ROUND(IFERROR(VALUE(TRIM(SUBSTITUTE(BH20,CHAR(160),""))),0),2)&gt;
ROUND(IFERROR(VALUE(TRIM(SUBSTITUTE(BE20,CHAR(160),""))),0),2),
"KO : Le montant retenu TTC est supérieur au montant raisonnable TTC. Merci de revoir la ligne de dépense ou plafonner son montant.",
ROUND(IFERROR(VALUE(TRIM(SUBSTITUTE(BF20,CHAR(160),""))),0),2)&gt;
ROUND(IFERROR(VALUE(TRIM(SUBSTITUTE(BC20,CHAR(160),""))),0),2),
"Attention : Le montant retenu HT est supérieur au montant HT raisonnable. Merci de revoir la ligne de dépense, plafonner son montant, ou justifier la reventillation HT / TVA.",
ROUND(IFERROR(VALUE(TRIM(SUBSTITUTE(BG20,CHAR(160),""))),0),2)&gt;
ROUND(IFERROR(VALUE(TRIM(SUBSTITUTE(BD20,CHAR(160),""))),0),2),
"Attention : Le montant TVA retenu est supérieur au montant TVA raisonnable. Merci de revoir la ligne de dépense, plafonner son montant, ou justifier la reventillation HT / TVA.",
ROUND(IFERROR(VALUE(TRIM(SUBSTITUTE(BH20,CHAR(160),""))),0),2)&gt;
ROUND(IFERROR(VALUE(TRIM(SUBSTITUTE(MIN(N20,S20,X20),CHAR(160),""))),0),2),
"Attention : Le devis retenu n'est pas le moins cher. Une justification de la part du porteur est nécessaire.",
ROUND(IFERROR(VALUE(TRIM(SUBSTITUTE(BH20,CHAR(160),""))),0),2)=0,
"Attention : montant présenté entièrement écarté",
ROUND(IFERROR(VALUE(TRIM(SUBSTITUTE(BE20,CHAR(160),""))),0),2)=
ROUND(IFERROR(VALUE(TRIM(SUBSTITUTE(BH20,CHAR(160),""))),0),2),
"OK",
ROUND(IFERROR(VALUE(TRIM(SUBSTITUTE(BE20,CHAR(160),""))),0),2)&gt;
ROUND(IFERROR(VALUE(TRIM(SUBSTITUTE(BH20,CHAR(160),""))),0),2),
" OK : Montant instruit inférieur au montant raisonnable.",
TRUE,""
))</f>
        <v/>
      </c>
      <c r="BK20" s="774" t="str" cm="1">
        <f t="array" ref="BK20">IF(OR(BH20="",AB20="",BF20="",Z20="",BG20="",AA20=""),"",_xlfn.IFS(
ROUND(IFERROR(VALUE(TRIM(SUBSTITUTE(BH20,CHAR(160),""))),0),2)&gt;
ROUND(IFERROR(VALUE(TRIM(SUBSTITUTE(AB20,CHAR(160),""))),0),2),
"KO : Le montant retenu TTC est supérieur au montant présenté TTC. Merci de revoir la ligne de dépense ou plafonner son montant.",
ROUND(IFERROR(VALUE(TRIM(SUBSTITUTE(BF20,CHAR(160),""))),0),2)&gt;
ROUND(IFERROR(VALUE(TRIM(SUBSTITUTE(Z20,CHAR(160),""))),0),2),
"Attention : Le montant retenu HT est supérieur au montant HT présenté. Merci de revoir la ligne de dépense, plafonner son montant, ou justifier la reventillation HT / TVA.",
ROUND(IFERROR(VALUE(TRIM(SUBSTITUTE(BG20,CHAR(160),""))),0),2)&gt;
ROUND(IFERROR(VALUE(TRIM(SUBSTITUTE(AA20,CHAR(160),""))),0),2),
"Attention : Le montant TVA retenu est supérieur au montant TVA présenté. Merci de revoir la ligne de dépense, plafonner son montant, ou justifier la reventillation HT / TVA.",
ROUND(IFERROR(VALUE(TRIM(SUBSTITUTE(AB20,CHAR(160),""))),0),2)=0,
"",
ROUND(IFERROR(VALUE(TRIM(SUBSTITUTE(BH20,CHAR(160),""))),0),2)=
ROUND(IFERROR(VALUE(TRIM(SUBSTITUTE(AB20,CHAR(160),""))),0),2),
"OK",
ROUND(IFERROR(VALUE(TRIM(SUBSTITUTE(BH20,CHAR(160),""))),0),2)=0,
"Attention : Montant présenté entièrement rejeté.",
ROUND(IFERROR(VALUE(TRIM(SUBSTITUTE(BH20,CHAR(160),""))),0),2)&lt;
ROUND(IFERROR(VALUE(TRIM(SUBSTITUTE(AB20,CHAR(160),""))),0),2),
"Attention : Montant présenté partiellement rejeté.",
TRUE,""
))</f>
        <v/>
      </c>
      <c r="BL20" s="773" t="str">
        <f t="shared" si="48"/>
        <v/>
      </c>
      <c r="BM20" s="773" t="str">
        <f t="shared" si="49"/>
        <v/>
      </c>
      <c r="BN20" s="773" t="str">
        <f t="shared" si="50"/>
        <v/>
      </c>
    </row>
    <row r="21" spans="1:66" ht="15" customHeight="1">
      <c r="A21" s="193">
        <v>17</v>
      </c>
      <c r="B21" s="7"/>
      <c r="C21" s="9"/>
      <c r="D21" s="30"/>
      <c r="E21" s="36"/>
      <c r="F21" s="34"/>
      <c r="G21" s="35"/>
      <c r="H21" s="685"/>
      <c r="I21" s="786"/>
      <c r="J21" s="792"/>
      <c r="K21" s="758"/>
      <c r="L21" s="761"/>
      <c r="M21" s="762"/>
      <c r="N21" s="808" t="str">
        <f t="shared" si="21"/>
        <v/>
      </c>
      <c r="O21" s="846"/>
      <c r="P21" s="847"/>
      <c r="Q21" s="762"/>
      <c r="R21" s="762"/>
      <c r="S21" s="808" t="str">
        <f t="shared" si="22"/>
        <v/>
      </c>
      <c r="T21" s="850"/>
      <c r="U21" s="847"/>
      <c r="V21" s="762"/>
      <c r="W21" s="762"/>
      <c r="X21" s="830" t="str">
        <f t="shared" si="23"/>
        <v/>
      </c>
      <c r="Y21" s="246"/>
      <c r="Z21" s="284" t="str" cm="1">
        <f t="array" ref="Z21">IF((_xlfn.IFS(TRIM(SUBSTITUTE(Y21,CHAR(160),""))="Devis 1",IFERROR(VALUE(TRIM(SUBSTITUTE(L21,CHAR(160),""))),0),TRIM(SUBSTITUTE(Y21,CHAR(160),""))="Devis 2",IFERROR(VALUE(TRIM(SUBSTITUTE(Q21,CHAR(160),""))),0),TRIM(SUBSTITUTE(Y21,CHAR(160),""))="Devis 3",IFERROR(VALUE(TRIM(SUBSTITUTE(V21,CHAR(160),""))),0),TRUE,0)*IFERROR(VALUE(TRIM(SUBSTITUTE(C21,CHAR(160),""))),0))=0,"",_xlfn.IFS(TRIM(SUBSTITUTE(Y21,CHAR(160),""))="Devis 1",IFERROR(VALUE(TRIM(SUBSTITUTE(L21,CHAR(160),""))),0),TRIM(SUBSTITUTE(Y21,CHAR(160),""))="Devis 2",IFERROR(VALUE(TRIM(SUBSTITUTE(Q21,CHAR(160),""))),0),TRIM(SUBSTITUTE(Y21,CHAR(160),""))="Devis 3",IFERROR(VALUE(TRIM(SUBSTITUTE(V21,CHAR(160),""))),0),TRUE,0)*IFERROR(VALUE(TRIM(SUBSTITUTE(C21,CHAR(160),""))),0))</f>
        <v/>
      </c>
      <c r="AA21" s="275" t="str" cm="1">
        <f t="array" ref="AA21">IF((_xlfn.IFS(TRIM(SUBSTITUTE(Y21,CHAR(160),""))="Devis 1",IFERROR(VALUE(TRIM(SUBSTITUTE(M21,CHAR(160),""))),0),TRIM(SUBSTITUTE(Y21,CHAR(160),""))="Devis 2",IFERROR(VALUE(TRIM(SUBSTITUTE(R21,CHAR(160),""))),0),TRIM(SUBSTITUTE(Y21,CHAR(160),""))="Devis 3",IFERROR(VALUE(TRIM(SUBSTITUTE(W21,CHAR(160),""))),0),TRUE,0)*IFERROR(VALUE(TRIM(SUBSTITUTE(C21,CHAR(160),""))),0))=0,IF(Z21&lt;&gt;"",0,""),_xlfn.IFS(TRIM(SUBSTITUTE(Y21,CHAR(160),""))="Devis 1",IFERROR(VALUE(TRIM(SUBSTITUTE(M21,CHAR(160),""))),0),TRIM(SUBSTITUTE(Y21,CHAR(160),""))="Devis 2",IFERROR(VALUE(TRIM(SUBSTITUTE(R21,CHAR(160),""))),0),TRIM(SUBSTITUTE(Y21,CHAR(160),""))="Devis 3",IFERROR(VALUE(TRIM(SUBSTITUTE(W21,CHAR(160),""))),0),TRUE,0)*IFERROR(VALUE(TRIM(SUBSTITUTE(C21,CHAR(160),""))),0))</f>
        <v/>
      </c>
      <c r="AB21" s="285" t="str">
        <f t="shared" si="24"/>
        <v/>
      </c>
      <c r="AC21" s="209"/>
      <c r="AD21" s="747" t="str">
        <f t="shared" si="0"/>
        <v/>
      </c>
      <c r="AE21" s="747" t="str">
        <f t="shared" si="1"/>
        <v/>
      </c>
      <c r="AF21" s="747" t="str">
        <f t="shared" si="2"/>
        <v/>
      </c>
      <c r="AG21" s="747" t="str">
        <f t="shared" si="3"/>
        <v/>
      </c>
      <c r="AH21" s="747" t="str">
        <f t="shared" si="4"/>
        <v/>
      </c>
      <c r="AI21" s="747" t="str">
        <f t="shared" si="25"/>
        <v/>
      </c>
      <c r="AJ21" s="747" t="str">
        <f t="shared" si="26"/>
        <v/>
      </c>
      <c r="AK21" s="776" t="str">
        <f t="shared" si="27"/>
        <v/>
      </c>
      <c r="AL21" s="802" t="str">
        <f t="shared" si="28"/>
        <v/>
      </c>
      <c r="AM21" s="747" t="str">
        <f t="shared" si="29"/>
        <v/>
      </c>
      <c r="AN21" s="771" t="str">
        <f t="shared" si="30"/>
        <v/>
      </c>
      <c r="AO21" s="771" t="str">
        <f t="shared" si="31"/>
        <v/>
      </c>
      <c r="AP21" s="808" t="str">
        <f t="shared" si="32"/>
        <v/>
      </c>
      <c r="AQ21" s="819" t="str">
        <f t="shared" si="33"/>
        <v/>
      </c>
      <c r="AR21" s="771" t="str">
        <f t="shared" si="34"/>
        <v/>
      </c>
      <c r="AS21" s="771" t="str">
        <f t="shared" si="35"/>
        <v/>
      </c>
      <c r="AT21" s="771" t="str">
        <f t="shared" si="36"/>
        <v/>
      </c>
      <c r="AU21" s="808" t="str">
        <f t="shared" si="37"/>
        <v/>
      </c>
      <c r="AV21" s="842" t="str">
        <f t="shared" si="38"/>
        <v/>
      </c>
      <c r="AW21" s="771" t="str">
        <f t="shared" si="39"/>
        <v/>
      </c>
      <c r="AX21" s="771" t="str">
        <f t="shared" si="40"/>
        <v/>
      </c>
      <c r="AY21" s="771" t="str">
        <f t="shared" si="41"/>
        <v/>
      </c>
      <c r="AZ21" s="831" t="str">
        <f t="shared" si="42"/>
        <v/>
      </c>
      <c r="BA21" s="835" t="str">
        <f t="shared" si="43"/>
        <v/>
      </c>
      <c r="BB21" s="772"/>
      <c r="BC21" s="275" t="str">
        <f t="shared" si="44"/>
        <v/>
      </c>
      <c r="BD21" s="275" t="str">
        <f t="shared" si="45"/>
        <v/>
      </c>
      <c r="BE21" s="886" t="str">
        <f t="shared" si="46"/>
        <v/>
      </c>
      <c r="BF21" s="873" t="str" cm="1">
        <f t="array" ref="BF21">IF($AE21="","",
_xlfn.IFS(
$BA21="Devis 1",
IF(ISBLANK(AN21),"",IFERROR(VALUE(TRIM(SUBSTITUTE(AN21,CHAR(160),""))),0)*IFERROR(VALUE(TRIM(SUBSTITUTE($AE21,CHAR(160),""))),0)),
$BA21="Devis 2",
IF(ISBLANK(AS21),"",IFERROR(VALUE(TRIM(SUBSTITUTE(AS21,CHAR(160),""))),0)*IFERROR(VALUE(TRIM(SUBSTITUTE($AE21,CHAR(160),""))),0)),
$BA21="Devis 3",
IF(ISBLANK(AX21),"",IFERROR(VALUE(TRIM(SUBSTITUTE(AX21,CHAR(160),""))),0)*IFERROR(VALUE(TRIM(SUBSTITUTE($AE21,CHAR(160),""))),0)),
TRUE,0
)
)</f>
        <v/>
      </c>
      <c r="BG21" s="873" t="str" cm="1">
        <f t="array" ref="BG21">IF($AE21="","",
_xlfn.IFS(
$BA21="Devis 1",
IF(ISBLANK(AO21),"",IFERROR(VALUE(TRIM(SUBSTITUTE(AO21,CHAR(160),""))),0)*IFERROR(VALUE(TRIM(SUBSTITUTE($AE21,CHAR(160),""))),0)),
$BA21="Devis 2",
IF(ISBLANK(AT21),"",IFERROR(VALUE(TRIM(SUBSTITUTE(AT21,CHAR(160),""))),0)*IFERROR(VALUE(TRIM(SUBSTITUTE($AE21,CHAR(160),""))),0)),
$BA21="Devis 3",
IF(ISBLANK(AY21),"",IFERROR(VALUE(TRIM(SUBSTITUTE(AY21,CHAR(160),""))),0)*IFERROR(VALUE(TRIM(SUBSTITUTE($AE21,CHAR(160),""))),0)),
TRUE,0
)
)</f>
        <v/>
      </c>
      <c r="BH21" s="874" t="str">
        <f t="shared" si="47"/>
        <v/>
      </c>
      <c r="BI21" s="866"/>
      <c r="BJ21" s="774" t="str" cm="1">
        <f t="array" ref="BJ21">IF(OR(BH21="",BE21="",BF21="",BC21="",BG21="",BD21=""),"",_xlfn.IFS(
ROUND(IFERROR(VALUE(TRIM(SUBSTITUTE(BH21,CHAR(160),""))),0),2)&gt;
ROUND(IFERROR(VALUE(TRIM(SUBSTITUTE(BE21,CHAR(160),""))),0),2),
"KO : Le montant retenu TTC est supérieur au montant raisonnable TTC. Merci de revoir la ligne de dépense ou plafonner son montant.",
ROUND(IFERROR(VALUE(TRIM(SUBSTITUTE(BF21,CHAR(160),""))),0),2)&gt;
ROUND(IFERROR(VALUE(TRIM(SUBSTITUTE(BC21,CHAR(160),""))),0),2),
"Attention : Le montant retenu HT est supérieur au montant HT raisonnable. Merci de revoir la ligne de dépense, plafonner son montant, ou justifier la reventillation HT / TVA.",
ROUND(IFERROR(VALUE(TRIM(SUBSTITUTE(BG21,CHAR(160),""))),0),2)&gt;
ROUND(IFERROR(VALUE(TRIM(SUBSTITUTE(BD21,CHAR(160),""))),0),2),
"Attention : Le montant TVA retenu est supérieur au montant TVA raisonnable. Merci de revoir la ligne de dépense, plafonner son montant, ou justifier la reventillation HT / TVA.",
ROUND(IFERROR(VALUE(TRIM(SUBSTITUTE(BH21,CHAR(160),""))),0),2)&gt;
ROUND(IFERROR(VALUE(TRIM(SUBSTITUTE(MIN(N21,S21,X21),CHAR(160),""))),0),2),
"Attention : Le devis retenu n'est pas le moins cher. Une justification de la part du porteur est nécessaire.",
ROUND(IFERROR(VALUE(TRIM(SUBSTITUTE(BH21,CHAR(160),""))),0),2)=0,
"Attention : montant présenté entièrement écarté",
ROUND(IFERROR(VALUE(TRIM(SUBSTITUTE(BE21,CHAR(160),""))),0),2)=
ROUND(IFERROR(VALUE(TRIM(SUBSTITUTE(BH21,CHAR(160),""))),0),2),
"OK",
ROUND(IFERROR(VALUE(TRIM(SUBSTITUTE(BE21,CHAR(160),""))),0),2)&gt;
ROUND(IFERROR(VALUE(TRIM(SUBSTITUTE(BH21,CHAR(160),""))),0),2),
" OK : Montant instruit inférieur au montant raisonnable.",
TRUE,""
))</f>
        <v/>
      </c>
      <c r="BK21" s="774" t="str" cm="1">
        <f t="array" ref="BK21">IF(OR(BH21="",AB21="",BF21="",Z21="",BG21="",AA21=""),"",_xlfn.IFS(
ROUND(IFERROR(VALUE(TRIM(SUBSTITUTE(BH21,CHAR(160),""))),0),2)&gt;
ROUND(IFERROR(VALUE(TRIM(SUBSTITUTE(AB21,CHAR(160),""))),0),2),
"KO : Le montant retenu TTC est supérieur au montant présenté TTC. Merci de revoir la ligne de dépense ou plafonner son montant.",
ROUND(IFERROR(VALUE(TRIM(SUBSTITUTE(BF21,CHAR(160),""))),0),2)&gt;
ROUND(IFERROR(VALUE(TRIM(SUBSTITUTE(Z21,CHAR(160),""))),0),2),
"Attention : Le montant retenu HT est supérieur au montant HT présenté. Merci de revoir la ligne de dépense, plafonner son montant, ou justifier la reventillation HT / TVA.",
ROUND(IFERROR(VALUE(TRIM(SUBSTITUTE(BG21,CHAR(160),""))),0),2)&gt;
ROUND(IFERROR(VALUE(TRIM(SUBSTITUTE(AA21,CHAR(160),""))),0),2),
"Attention : Le montant TVA retenu est supérieur au montant TVA présenté. Merci de revoir la ligne de dépense, plafonner son montant, ou justifier la reventillation HT / TVA.",
ROUND(IFERROR(VALUE(TRIM(SUBSTITUTE(AB21,CHAR(160),""))),0),2)=0,
"",
ROUND(IFERROR(VALUE(TRIM(SUBSTITUTE(BH21,CHAR(160),""))),0),2)=
ROUND(IFERROR(VALUE(TRIM(SUBSTITUTE(AB21,CHAR(160),""))),0),2),
"OK",
ROUND(IFERROR(VALUE(TRIM(SUBSTITUTE(BH21,CHAR(160),""))),0),2)=0,
"Attention : Montant présenté entièrement rejeté.",
ROUND(IFERROR(VALUE(TRIM(SUBSTITUTE(BH21,CHAR(160),""))),0),2)&lt;
ROUND(IFERROR(VALUE(TRIM(SUBSTITUTE(AB21,CHAR(160),""))),0),2),
"Attention : Montant présenté partiellement rejeté.",
TRUE,""
))</f>
        <v/>
      </c>
      <c r="BL21" s="773" t="str">
        <f t="shared" si="48"/>
        <v/>
      </c>
      <c r="BM21" s="773" t="str">
        <f t="shared" si="49"/>
        <v/>
      </c>
      <c r="BN21" s="773" t="str">
        <f t="shared" si="50"/>
        <v/>
      </c>
    </row>
    <row r="22" spans="1:66" ht="15" customHeight="1">
      <c r="A22" s="193">
        <v>18</v>
      </c>
      <c r="B22" s="7"/>
      <c r="C22" s="9"/>
      <c r="D22" s="30"/>
      <c r="E22" s="36"/>
      <c r="F22" s="34"/>
      <c r="G22" s="35"/>
      <c r="H22" s="685"/>
      <c r="I22" s="786"/>
      <c r="J22" s="792"/>
      <c r="K22" s="758"/>
      <c r="L22" s="761"/>
      <c r="M22" s="762"/>
      <c r="N22" s="808" t="str">
        <f t="shared" si="21"/>
        <v/>
      </c>
      <c r="O22" s="846"/>
      <c r="P22" s="847"/>
      <c r="Q22" s="762"/>
      <c r="R22" s="762"/>
      <c r="S22" s="808" t="str">
        <f t="shared" si="22"/>
        <v/>
      </c>
      <c r="T22" s="850"/>
      <c r="U22" s="847"/>
      <c r="V22" s="762"/>
      <c r="W22" s="762"/>
      <c r="X22" s="830" t="str">
        <f t="shared" si="23"/>
        <v/>
      </c>
      <c r="Y22" s="246"/>
      <c r="Z22" s="284" t="str" cm="1">
        <f t="array" ref="Z22">IF((_xlfn.IFS(TRIM(SUBSTITUTE(Y22,CHAR(160),""))="Devis 1",IFERROR(VALUE(TRIM(SUBSTITUTE(L22,CHAR(160),""))),0),TRIM(SUBSTITUTE(Y22,CHAR(160),""))="Devis 2",IFERROR(VALUE(TRIM(SUBSTITUTE(Q22,CHAR(160),""))),0),TRIM(SUBSTITUTE(Y22,CHAR(160),""))="Devis 3",IFERROR(VALUE(TRIM(SUBSTITUTE(V22,CHAR(160),""))),0),TRUE,0)*IFERROR(VALUE(TRIM(SUBSTITUTE(C22,CHAR(160),""))),0))=0,"",_xlfn.IFS(TRIM(SUBSTITUTE(Y22,CHAR(160),""))="Devis 1",IFERROR(VALUE(TRIM(SUBSTITUTE(L22,CHAR(160),""))),0),TRIM(SUBSTITUTE(Y22,CHAR(160),""))="Devis 2",IFERROR(VALUE(TRIM(SUBSTITUTE(Q22,CHAR(160),""))),0),TRIM(SUBSTITUTE(Y22,CHAR(160),""))="Devis 3",IFERROR(VALUE(TRIM(SUBSTITUTE(V22,CHAR(160),""))),0),TRUE,0)*IFERROR(VALUE(TRIM(SUBSTITUTE(C22,CHAR(160),""))),0))</f>
        <v/>
      </c>
      <c r="AA22" s="275" t="str" cm="1">
        <f t="array" ref="AA22">IF((_xlfn.IFS(TRIM(SUBSTITUTE(Y22,CHAR(160),""))="Devis 1",IFERROR(VALUE(TRIM(SUBSTITUTE(M22,CHAR(160),""))),0),TRIM(SUBSTITUTE(Y22,CHAR(160),""))="Devis 2",IFERROR(VALUE(TRIM(SUBSTITUTE(R22,CHAR(160),""))),0),TRIM(SUBSTITUTE(Y22,CHAR(160),""))="Devis 3",IFERROR(VALUE(TRIM(SUBSTITUTE(W22,CHAR(160),""))),0),TRUE,0)*IFERROR(VALUE(TRIM(SUBSTITUTE(C22,CHAR(160),""))),0))=0,IF(Z22&lt;&gt;"",0,""),_xlfn.IFS(TRIM(SUBSTITUTE(Y22,CHAR(160),""))="Devis 1",IFERROR(VALUE(TRIM(SUBSTITUTE(M22,CHAR(160),""))),0),TRIM(SUBSTITUTE(Y22,CHAR(160),""))="Devis 2",IFERROR(VALUE(TRIM(SUBSTITUTE(R22,CHAR(160),""))),0),TRIM(SUBSTITUTE(Y22,CHAR(160),""))="Devis 3",IFERROR(VALUE(TRIM(SUBSTITUTE(W22,CHAR(160),""))),0),TRUE,0)*IFERROR(VALUE(TRIM(SUBSTITUTE(C22,CHAR(160),""))),0))</f>
        <v/>
      </c>
      <c r="AB22" s="285" t="str">
        <f t="shared" si="24"/>
        <v/>
      </c>
      <c r="AC22" s="209"/>
      <c r="AD22" s="747" t="str">
        <f t="shared" si="0"/>
        <v/>
      </c>
      <c r="AE22" s="747" t="str">
        <f t="shared" si="1"/>
        <v/>
      </c>
      <c r="AF22" s="747" t="str">
        <f t="shared" si="2"/>
        <v/>
      </c>
      <c r="AG22" s="747" t="str">
        <f t="shared" si="3"/>
        <v/>
      </c>
      <c r="AH22" s="747" t="str">
        <f t="shared" si="4"/>
        <v/>
      </c>
      <c r="AI22" s="747" t="str">
        <f t="shared" si="25"/>
        <v/>
      </c>
      <c r="AJ22" s="747" t="str">
        <f t="shared" si="26"/>
        <v/>
      </c>
      <c r="AK22" s="776" t="str">
        <f t="shared" si="27"/>
        <v/>
      </c>
      <c r="AL22" s="802" t="str">
        <f t="shared" si="28"/>
        <v/>
      </c>
      <c r="AM22" s="747" t="str">
        <f t="shared" si="29"/>
        <v/>
      </c>
      <c r="AN22" s="771" t="str">
        <f t="shared" si="30"/>
        <v/>
      </c>
      <c r="AO22" s="771" t="str">
        <f t="shared" si="31"/>
        <v/>
      </c>
      <c r="AP22" s="808" t="str">
        <f t="shared" si="32"/>
        <v/>
      </c>
      <c r="AQ22" s="819" t="str">
        <f t="shared" si="33"/>
        <v/>
      </c>
      <c r="AR22" s="771" t="str">
        <f t="shared" si="34"/>
        <v/>
      </c>
      <c r="AS22" s="771" t="str">
        <f t="shared" si="35"/>
        <v/>
      </c>
      <c r="AT22" s="771" t="str">
        <f t="shared" si="36"/>
        <v/>
      </c>
      <c r="AU22" s="808" t="str">
        <f t="shared" si="37"/>
        <v/>
      </c>
      <c r="AV22" s="842" t="str">
        <f t="shared" si="38"/>
        <v/>
      </c>
      <c r="AW22" s="771" t="str">
        <f t="shared" si="39"/>
        <v/>
      </c>
      <c r="AX22" s="771" t="str">
        <f t="shared" si="40"/>
        <v/>
      </c>
      <c r="AY22" s="771" t="str">
        <f t="shared" si="41"/>
        <v/>
      </c>
      <c r="AZ22" s="831" t="str">
        <f t="shared" si="42"/>
        <v/>
      </c>
      <c r="BA22" s="835" t="str">
        <f t="shared" si="43"/>
        <v/>
      </c>
      <c r="BB22" s="772"/>
      <c r="BC22" s="275" t="str">
        <f t="shared" si="44"/>
        <v/>
      </c>
      <c r="BD22" s="275" t="str">
        <f t="shared" si="45"/>
        <v/>
      </c>
      <c r="BE22" s="886" t="str">
        <f t="shared" si="46"/>
        <v/>
      </c>
      <c r="BF22" s="873" t="str" cm="1">
        <f t="array" ref="BF22">IF($AE22="","",
_xlfn.IFS(
$BA22="Devis 1",
IF(ISBLANK(AN22),"",IFERROR(VALUE(TRIM(SUBSTITUTE(AN22,CHAR(160),""))),0)*IFERROR(VALUE(TRIM(SUBSTITUTE($AE22,CHAR(160),""))),0)),
$BA22="Devis 2",
IF(ISBLANK(AS22),"",IFERROR(VALUE(TRIM(SUBSTITUTE(AS22,CHAR(160),""))),0)*IFERROR(VALUE(TRIM(SUBSTITUTE($AE22,CHAR(160),""))),0)),
$BA22="Devis 3",
IF(ISBLANK(AX22),"",IFERROR(VALUE(TRIM(SUBSTITUTE(AX22,CHAR(160),""))),0)*IFERROR(VALUE(TRIM(SUBSTITUTE($AE22,CHAR(160),""))),0)),
TRUE,0
)
)</f>
        <v/>
      </c>
      <c r="BG22" s="873" t="str" cm="1">
        <f t="array" ref="BG22">IF($AE22="","",
_xlfn.IFS(
$BA22="Devis 1",
IF(ISBLANK(AO22),"",IFERROR(VALUE(TRIM(SUBSTITUTE(AO22,CHAR(160),""))),0)*IFERROR(VALUE(TRIM(SUBSTITUTE($AE22,CHAR(160),""))),0)),
$BA22="Devis 2",
IF(ISBLANK(AT22),"",IFERROR(VALUE(TRIM(SUBSTITUTE(AT22,CHAR(160),""))),0)*IFERROR(VALUE(TRIM(SUBSTITUTE($AE22,CHAR(160),""))),0)),
$BA22="Devis 3",
IF(ISBLANK(AY22),"",IFERROR(VALUE(TRIM(SUBSTITUTE(AY22,CHAR(160),""))),0)*IFERROR(VALUE(TRIM(SUBSTITUTE($AE22,CHAR(160),""))),0)),
TRUE,0
)
)</f>
        <v/>
      </c>
      <c r="BH22" s="874" t="str">
        <f t="shared" si="47"/>
        <v/>
      </c>
      <c r="BI22" s="866"/>
      <c r="BJ22" s="774" t="str" cm="1">
        <f t="array" ref="BJ22">IF(OR(BH22="",BE22="",BF22="",BC22="",BG22="",BD22=""),"",_xlfn.IFS(
ROUND(IFERROR(VALUE(TRIM(SUBSTITUTE(BH22,CHAR(160),""))),0),2)&gt;
ROUND(IFERROR(VALUE(TRIM(SUBSTITUTE(BE22,CHAR(160),""))),0),2),
"KO : Le montant retenu TTC est supérieur au montant raisonnable TTC. Merci de revoir la ligne de dépense ou plafonner son montant.",
ROUND(IFERROR(VALUE(TRIM(SUBSTITUTE(BF22,CHAR(160),""))),0),2)&gt;
ROUND(IFERROR(VALUE(TRIM(SUBSTITUTE(BC22,CHAR(160),""))),0),2),
"Attention : Le montant retenu HT est supérieur au montant HT raisonnable. Merci de revoir la ligne de dépense, plafonner son montant, ou justifier la reventillation HT / TVA.",
ROUND(IFERROR(VALUE(TRIM(SUBSTITUTE(BG22,CHAR(160),""))),0),2)&gt;
ROUND(IFERROR(VALUE(TRIM(SUBSTITUTE(BD22,CHAR(160),""))),0),2),
"Attention : Le montant TVA retenu est supérieur au montant TVA raisonnable. Merci de revoir la ligne de dépense, plafonner son montant, ou justifier la reventillation HT / TVA.",
ROUND(IFERROR(VALUE(TRIM(SUBSTITUTE(BH22,CHAR(160),""))),0),2)&gt;
ROUND(IFERROR(VALUE(TRIM(SUBSTITUTE(MIN(N22,S22,X22),CHAR(160),""))),0),2),
"Attention : Le devis retenu n'est pas le moins cher. Une justification de la part du porteur est nécessaire.",
ROUND(IFERROR(VALUE(TRIM(SUBSTITUTE(BH22,CHAR(160),""))),0),2)=0,
"Attention : montant présenté entièrement écarté",
ROUND(IFERROR(VALUE(TRIM(SUBSTITUTE(BE22,CHAR(160),""))),0),2)=
ROUND(IFERROR(VALUE(TRIM(SUBSTITUTE(BH22,CHAR(160),""))),0),2),
"OK",
ROUND(IFERROR(VALUE(TRIM(SUBSTITUTE(BE22,CHAR(160),""))),0),2)&gt;
ROUND(IFERROR(VALUE(TRIM(SUBSTITUTE(BH22,CHAR(160),""))),0),2),
" OK : Montant instruit inférieur au montant raisonnable.",
TRUE,""
))</f>
        <v/>
      </c>
      <c r="BK22" s="774" t="str" cm="1">
        <f t="array" ref="BK22">IF(OR(BH22="",AB22="",BF22="",Z22="",BG22="",AA22=""),"",_xlfn.IFS(
ROUND(IFERROR(VALUE(TRIM(SUBSTITUTE(BH22,CHAR(160),""))),0),2)&gt;
ROUND(IFERROR(VALUE(TRIM(SUBSTITUTE(AB22,CHAR(160),""))),0),2),
"KO : Le montant retenu TTC est supérieur au montant présenté TTC. Merci de revoir la ligne de dépense ou plafonner son montant.",
ROUND(IFERROR(VALUE(TRIM(SUBSTITUTE(BF22,CHAR(160),""))),0),2)&gt;
ROUND(IFERROR(VALUE(TRIM(SUBSTITUTE(Z22,CHAR(160),""))),0),2),
"Attention : Le montant retenu HT est supérieur au montant HT présenté. Merci de revoir la ligne de dépense, plafonner son montant, ou justifier la reventillation HT / TVA.",
ROUND(IFERROR(VALUE(TRIM(SUBSTITUTE(BG22,CHAR(160),""))),0),2)&gt;
ROUND(IFERROR(VALUE(TRIM(SUBSTITUTE(AA22,CHAR(160),""))),0),2),
"Attention : Le montant TVA retenu est supérieur au montant TVA présenté. Merci de revoir la ligne de dépense, plafonner son montant, ou justifier la reventillation HT / TVA.",
ROUND(IFERROR(VALUE(TRIM(SUBSTITUTE(AB22,CHAR(160),""))),0),2)=0,
"",
ROUND(IFERROR(VALUE(TRIM(SUBSTITUTE(BH22,CHAR(160),""))),0),2)=
ROUND(IFERROR(VALUE(TRIM(SUBSTITUTE(AB22,CHAR(160),""))),0),2),
"OK",
ROUND(IFERROR(VALUE(TRIM(SUBSTITUTE(BH22,CHAR(160),""))),0),2)=0,
"Attention : Montant présenté entièrement rejeté.",
ROUND(IFERROR(VALUE(TRIM(SUBSTITUTE(BH22,CHAR(160),""))),0),2)&lt;
ROUND(IFERROR(VALUE(TRIM(SUBSTITUTE(AB22,CHAR(160),""))),0),2),
"Attention : Montant présenté partiellement rejeté.",
TRUE,""
))</f>
        <v/>
      </c>
      <c r="BL22" s="773" t="str">
        <f t="shared" si="48"/>
        <v/>
      </c>
      <c r="BM22" s="773" t="str">
        <f t="shared" si="49"/>
        <v/>
      </c>
      <c r="BN22" s="773" t="str">
        <f t="shared" si="50"/>
        <v/>
      </c>
    </row>
    <row r="23" spans="1:66" ht="15" customHeight="1">
      <c r="A23" s="193">
        <v>19</v>
      </c>
      <c r="B23" s="7"/>
      <c r="C23" s="9"/>
      <c r="D23" s="30"/>
      <c r="E23" s="36"/>
      <c r="F23" s="34"/>
      <c r="G23" s="35"/>
      <c r="H23" s="685"/>
      <c r="I23" s="786"/>
      <c r="J23" s="792"/>
      <c r="K23" s="758"/>
      <c r="L23" s="761"/>
      <c r="M23" s="762"/>
      <c r="N23" s="808" t="str">
        <f t="shared" si="21"/>
        <v/>
      </c>
      <c r="O23" s="846"/>
      <c r="P23" s="847"/>
      <c r="Q23" s="762"/>
      <c r="R23" s="762"/>
      <c r="S23" s="808" t="str">
        <f t="shared" si="22"/>
        <v/>
      </c>
      <c r="T23" s="850"/>
      <c r="U23" s="847"/>
      <c r="V23" s="762"/>
      <c r="W23" s="762"/>
      <c r="X23" s="830" t="str">
        <f t="shared" si="23"/>
        <v/>
      </c>
      <c r="Y23" s="246"/>
      <c r="Z23" s="284" t="str" cm="1">
        <f t="array" ref="Z23">IF((_xlfn.IFS(TRIM(SUBSTITUTE(Y23,CHAR(160),""))="Devis 1",IFERROR(VALUE(TRIM(SUBSTITUTE(L23,CHAR(160),""))),0),TRIM(SUBSTITUTE(Y23,CHAR(160),""))="Devis 2",IFERROR(VALUE(TRIM(SUBSTITUTE(Q23,CHAR(160),""))),0),TRIM(SUBSTITUTE(Y23,CHAR(160),""))="Devis 3",IFERROR(VALUE(TRIM(SUBSTITUTE(V23,CHAR(160),""))),0),TRUE,0)*IFERROR(VALUE(TRIM(SUBSTITUTE(C23,CHAR(160),""))),0))=0,"",_xlfn.IFS(TRIM(SUBSTITUTE(Y23,CHAR(160),""))="Devis 1",IFERROR(VALUE(TRIM(SUBSTITUTE(L23,CHAR(160),""))),0),TRIM(SUBSTITUTE(Y23,CHAR(160),""))="Devis 2",IFERROR(VALUE(TRIM(SUBSTITUTE(Q23,CHAR(160),""))),0),TRIM(SUBSTITUTE(Y23,CHAR(160),""))="Devis 3",IFERROR(VALUE(TRIM(SUBSTITUTE(V23,CHAR(160),""))),0),TRUE,0)*IFERROR(VALUE(TRIM(SUBSTITUTE(C23,CHAR(160),""))),0))</f>
        <v/>
      </c>
      <c r="AA23" s="275" t="str" cm="1">
        <f t="array" ref="AA23">IF((_xlfn.IFS(TRIM(SUBSTITUTE(Y23,CHAR(160),""))="Devis 1",IFERROR(VALUE(TRIM(SUBSTITUTE(M23,CHAR(160),""))),0),TRIM(SUBSTITUTE(Y23,CHAR(160),""))="Devis 2",IFERROR(VALUE(TRIM(SUBSTITUTE(R23,CHAR(160),""))),0),TRIM(SUBSTITUTE(Y23,CHAR(160),""))="Devis 3",IFERROR(VALUE(TRIM(SUBSTITUTE(W23,CHAR(160),""))),0),TRUE,0)*IFERROR(VALUE(TRIM(SUBSTITUTE(C23,CHAR(160),""))),0))=0,IF(Z23&lt;&gt;"",0,""),_xlfn.IFS(TRIM(SUBSTITUTE(Y23,CHAR(160),""))="Devis 1",IFERROR(VALUE(TRIM(SUBSTITUTE(M23,CHAR(160),""))),0),TRIM(SUBSTITUTE(Y23,CHAR(160),""))="Devis 2",IFERROR(VALUE(TRIM(SUBSTITUTE(R23,CHAR(160),""))),0),TRIM(SUBSTITUTE(Y23,CHAR(160),""))="Devis 3",IFERROR(VALUE(TRIM(SUBSTITUTE(W23,CHAR(160),""))),0),TRUE,0)*IFERROR(VALUE(TRIM(SUBSTITUTE(C23,CHAR(160),""))),0))</f>
        <v/>
      </c>
      <c r="AB23" s="285" t="str">
        <f t="shared" si="24"/>
        <v/>
      </c>
      <c r="AC23" s="209"/>
      <c r="AD23" s="747" t="str">
        <f t="shared" si="0"/>
        <v/>
      </c>
      <c r="AE23" s="747" t="str">
        <f t="shared" si="1"/>
        <v/>
      </c>
      <c r="AF23" s="747" t="str">
        <f t="shared" si="2"/>
        <v/>
      </c>
      <c r="AG23" s="747" t="str">
        <f t="shared" si="3"/>
        <v/>
      </c>
      <c r="AH23" s="747" t="str">
        <f t="shared" si="4"/>
        <v/>
      </c>
      <c r="AI23" s="747" t="str">
        <f t="shared" si="25"/>
        <v/>
      </c>
      <c r="AJ23" s="747" t="str">
        <f t="shared" si="26"/>
        <v/>
      </c>
      <c r="AK23" s="776" t="str">
        <f t="shared" si="27"/>
        <v/>
      </c>
      <c r="AL23" s="802" t="str">
        <f t="shared" si="28"/>
        <v/>
      </c>
      <c r="AM23" s="747" t="str">
        <f t="shared" si="29"/>
        <v/>
      </c>
      <c r="AN23" s="771" t="str">
        <f t="shared" si="30"/>
        <v/>
      </c>
      <c r="AO23" s="771" t="str">
        <f t="shared" si="31"/>
        <v/>
      </c>
      <c r="AP23" s="808" t="str">
        <f t="shared" si="32"/>
        <v/>
      </c>
      <c r="AQ23" s="819" t="str">
        <f t="shared" si="33"/>
        <v/>
      </c>
      <c r="AR23" s="771" t="str">
        <f t="shared" si="34"/>
        <v/>
      </c>
      <c r="AS23" s="771" t="str">
        <f t="shared" si="35"/>
        <v/>
      </c>
      <c r="AT23" s="771" t="str">
        <f t="shared" si="36"/>
        <v/>
      </c>
      <c r="AU23" s="808" t="str">
        <f t="shared" si="37"/>
        <v/>
      </c>
      <c r="AV23" s="842" t="str">
        <f t="shared" si="38"/>
        <v/>
      </c>
      <c r="AW23" s="771" t="str">
        <f t="shared" si="39"/>
        <v/>
      </c>
      <c r="AX23" s="771" t="str">
        <f t="shared" si="40"/>
        <v/>
      </c>
      <c r="AY23" s="771" t="str">
        <f t="shared" si="41"/>
        <v/>
      </c>
      <c r="AZ23" s="831" t="str">
        <f t="shared" si="42"/>
        <v/>
      </c>
      <c r="BA23" s="835" t="str">
        <f t="shared" si="43"/>
        <v/>
      </c>
      <c r="BB23" s="772"/>
      <c r="BC23" s="275" t="str">
        <f t="shared" si="44"/>
        <v/>
      </c>
      <c r="BD23" s="275" t="str">
        <f t="shared" si="45"/>
        <v/>
      </c>
      <c r="BE23" s="886" t="str">
        <f t="shared" si="46"/>
        <v/>
      </c>
      <c r="BF23" s="873" t="str" cm="1">
        <f t="array" ref="BF23">IF($AE23="","",
_xlfn.IFS(
$BA23="Devis 1",
IF(ISBLANK(AN23),"",IFERROR(VALUE(TRIM(SUBSTITUTE(AN23,CHAR(160),""))),0)*IFERROR(VALUE(TRIM(SUBSTITUTE($AE23,CHAR(160),""))),0)),
$BA23="Devis 2",
IF(ISBLANK(AS23),"",IFERROR(VALUE(TRIM(SUBSTITUTE(AS23,CHAR(160),""))),0)*IFERROR(VALUE(TRIM(SUBSTITUTE($AE23,CHAR(160),""))),0)),
$BA23="Devis 3",
IF(ISBLANK(AX23),"",IFERROR(VALUE(TRIM(SUBSTITUTE(AX23,CHAR(160),""))),0)*IFERROR(VALUE(TRIM(SUBSTITUTE($AE23,CHAR(160),""))),0)),
TRUE,0
)
)</f>
        <v/>
      </c>
      <c r="BG23" s="873" t="str" cm="1">
        <f t="array" ref="BG23">IF($AE23="","",
_xlfn.IFS(
$BA23="Devis 1",
IF(ISBLANK(AO23),"",IFERROR(VALUE(TRIM(SUBSTITUTE(AO23,CHAR(160),""))),0)*IFERROR(VALUE(TRIM(SUBSTITUTE($AE23,CHAR(160),""))),0)),
$BA23="Devis 2",
IF(ISBLANK(AT23),"",IFERROR(VALUE(TRIM(SUBSTITUTE(AT23,CHAR(160),""))),0)*IFERROR(VALUE(TRIM(SUBSTITUTE($AE23,CHAR(160),""))),0)),
$BA23="Devis 3",
IF(ISBLANK(AY23),"",IFERROR(VALUE(TRIM(SUBSTITUTE(AY23,CHAR(160),""))),0)*IFERROR(VALUE(TRIM(SUBSTITUTE($AE23,CHAR(160),""))),0)),
TRUE,0
)
)</f>
        <v/>
      </c>
      <c r="BH23" s="874" t="str">
        <f t="shared" si="47"/>
        <v/>
      </c>
      <c r="BI23" s="866"/>
      <c r="BJ23" s="774" t="str" cm="1">
        <f t="array" ref="BJ23">IF(OR(BH23="",BE23="",BF23="",BC23="",BG23="",BD23=""),"",_xlfn.IFS(
ROUND(IFERROR(VALUE(TRIM(SUBSTITUTE(BH23,CHAR(160),""))),0),2)&gt;
ROUND(IFERROR(VALUE(TRIM(SUBSTITUTE(BE23,CHAR(160),""))),0),2),
"KO : Le montant retenu TTC est supérieur au montant raisonnable TTC. Merci de revoir la ligne de dépense ou plafonner son montant.",
ROUND(IFERROR(VALUE(TRIM(SUBSTITUTE(BF23,CHAR(160),""))),0),2)&gt;
ROUND(IFERROR(VALUE(TRIM(SUBSTITUTE(BC23,CHAR(160),""))),0),2),
"Attention : Le montant retenu HT est supérieur au montant HT raisonnable. Merci de revoir la ligne de dépense, plafonner son montant, ou justifier la reventillation HT / TVA.",
ROUND(IFERROR(VALUE(TRIM(SUBSTITUTE(BG23,CHAR(160),""))),0),2)&gt;
ROUND(IFERROR(VALUE(TRIM(SUBSTITUTE(BD23,CHAR(160),""))),0),2),
"Attention : Le montant TVA retenu est supérieur au montant TVA raisonnable. Merci de revoir la ligne de dépense, plafonner son montant, ou justifier la reventillation HT / TVA.",
ROUND(IFERROR(VALUE(TRIM(SUBSTITUTE(BH23,CHAR(160),""))),0),2)&gt;
ROUND(IFERROR(VALUE(TRIM(SUBSTITUTE(MIN(N23,S23,X23),CHAR(160),""))),0),2),
"Attention : Le devis retenu n'est pas le moins cher. Une justification de la part du porteur est nécessaire.",
ROUND(IFERROR(VALUE(TRIM(SUBSTITUTE(BH23,CHAR(160),""))),0),2)=0,
"Attention : montant présenté entièrement écarté",
ROUND(IFERROR(VALUE(TRIM(SUBSTITUTE(BE23,CHAR(160),""))),0),2)=
ROUND(IFERROR(VALUE(TRIM(SUBSTITUTE(BH23,CHAR(160),""))),0),2),
"OK",
ROUND(IFERROR(VALUE(TRIM(SUBSTITUTE(BE23,CHAR(160),""))),0),2)&gt;
ROUND(IFERROR(VALUE(TRIM(SUBSTITUTE(BH23,CHAR(160),""))),0),2),
" OK : Montant instruit inférieur au montant raisonnable.",
TRUE,""
))</f>
        <v/>
      </c>
      <c r="BK23" s="774" t="str" cm="1">
        <f t="array" ref="BK23">IF(OR(BH23="",AB23="",BF23="",Z23="",BG23="",AA23=""),"",_xlfn.IFS(
ROUND(IFERROR(VALUE(TRIM(SUBSTITUTE(BH23,CHAR(160),""))),0),2)&gt;
ROUND(IFERROR(VALUE(TRIM(SUBSTITUTE(AB23,CHAR(160),""))),0),2),
"KO : Le montant retenu TTC est supérieur au montant présenté TTC. Merci de revoir la ligne de dépense ou plafonner son montant.",
ROUND(IFERROR(VALUE(TRIM(SUBSTITUTE(BF23,CHAR(160),""))),0),2)&gt;
ROUND(IFERROR(VALUE(TRIM(SUBSTITUTE(Z23,CHAR(160),""))),0),2),
"Attention : Le montant retenu HT est supérieur au montant HT présenté. Merci de revoir la ligne de dépense, plafonner son montant, ou justifier la reventillation HT / TVA.",
ROUND(IFERROR(VALUE(TRIM(SUBSTITUTE(BG23,CHAR(160),""))),0),2)&gt;
ROUND(IFERROR(VALUE(TRIM(SUBSTITUTE(AA23,CHAR(160),""))),0),2),
"Attention : Le montant TVA retenu est supérieur au montant TVA présenté. Merci de revoir la ligne de dépense, plafonner son montant, ou justifier la reventillation HT / TVA.",
ROUND(IFERROR(VALUE(TRIM(SUBSTITUTE(AB23,CHAR(160),""))),0),2)=0,
"",
ROUND(IFERROR(VALUE(TRIM(SUBSTITUTE(BH23,CHAR(160),""))),0),2)=
ROUND(IFERROR(VALUE(TRIM(SUBSTITUTE(AB23,CHAR(160),""))),0),2),
"OK",
ROUND(IFERROR(VALUE(TRIM(SUBSTITUTE(BH23,CHAR(160),""))),0),2)=0,
"Attention : Montant présenté entièrement rejeté.",
ROUND(IFERROR(VALUE(TRIM(SUBSTITUTE(BH23,CHAR(160),""))),0),2)&lt;
ROUND(IFERROR(VALUE(TRIM(SUBSTITUTE(AB23,CHAR(160),""))),0),2),
"Attention : Montant présenté partiellement rejeté.",
TRUE,""
))</f>
        <v/>
      </c>
      <c r="BL23" s="773" t="str">
        <f t="shared" si="48"/>
        <v/>
      </c>
      <c r="BM23" s="773" t="str">
        <f t="shared" si="49"/>
        <v/>
      </c>
      <c r="BN23" s="773" t="str">
        <f t="shared" si="50"/>
        <v/>
      </c>
    </row>
    <row r="24" spans="1:66" ht="15" customHeight="1">
      <c r="A24" s="193">
        <v>20</v>
      </c>
      <c r="B24" s="7"/>
      <c r="C24" s="9"/>
      <c r="D24" s="30"/>
      <c r="E24" s="36"/>
      <c r="F24" s="34"/>
      <c r="G24" s="35"/>
      <c r="H24" s="685"/>
      <c r="I24" s="786"/>
      <c r="J24" s="792"/>
      <c r="K24" s="758"/>
      <c r="L24" s="761"/>
      <c r="M24" s="762"/>
      <c r="N24" s="808" t="str">
        <f t="shared" si="21"/>
        <v/>
      </c>
      <c r="O24" s="846"/>
      <c r="P24" s="847"/>
      <c r="Q24" s="762"/>
      <c r="R24" s="762"/>
      <c r="S24" s="808" t="str">
        <f t="shared" si="22"/>
        <v/>
      </c>
      <c r="T24" s="850"/>
      <c r="U24" s="847"/>
      <c r="V24" s="762"/>
      <c r="W24" s="762"/>
      <c r="X24" s="830" t="str">
        <f t="shared" si="23"/>
        <v/>
      </c>
      <c r="Y24" s="246"/>
      <c r="Z24" s="284" t="str" cm="1">
        <f t="array" ref="Z24">IF((_xlfn.IFS(TRIM(SUBSTITUTE(Y24,CHAR(160),""))="Devis 1",IFERROR(VALUE(TRIM(SUBSTITUTE(L24,CHAR(160),""))),0),TRIM(SUBSTITUTE(Y24,CHAR(160),""))="Devis 2",IFERROR(VALUE(TRIM(SUBSTITUTE(Q24,CHAR(160),""))),0),TRIM(SUBSTITUTE(Y24,CHAR(160),""))="Devis 3",IFERROR(VALUE(TRIM(SUBSTITUTE(V24,CHAR(160),""))),0),TRUE,0)*IFERROR(VALUE(TRIM(SUBSTITUTE(C24,CHAR(160),""))),0))=0,"",_xlfn.IFS(TRIM(SUBSTITUTE(Y24,CHAR(160),""))="Devis 1",IFERROR(VALUE(TRIM(SUBSTITUTE(L24,CHAR(160),""))),0),TRIM(SUBSTITUTE(Y24,CHAR(160),""))="Devis 2",IFERROR(VALUE(TRIM(SUBSTITUTE(Q24,CHAR(160),""))),0),TRIM(SUBSTITUTE(Y24,CHAR(160),""))="Devis 3",IFERROR(VALUE(TRIM(SUBSTITUTE(V24,CHAR(160),""))),0),TRUE,0)*IFERROR(VALUE(TRIM(SUBSTITUTE(C24,CHAR(160),""))),0))</f>
        <v/>
      </c>
      <c r="AA24" s="275" t="str" cm="1">
        <f t="array" ref="AA24">IF((_xlfn.IFS(TRIM(SUBSTITUTE(Y24,CHAR(160),""))="Devis 1",IFERROR(VALUE(TRIM(SUBSTITUTE(M24,CHAR(160),""))),0),TRIM(SUBSTITUTE(Y24,CHAR(160),""))="Devis 2",IFERROR(VALUE(TRIM(SUBSTITUTE(R24,CHAR(160),""))),0),TRIM(SUBSTITUTE(Y24,CHAR(160),""))="Devis 3",IFERROR(VALUE(TRIM(SUBSTITUTE(W24,CHAR(160),""))),0),TRUE,0)*IFERROR(VALUE(TRIM(SUBSTITUTE(C24,CHAR(160),""))),0))=0,IF(Z24&lt;&gt;"",0,""),_xlfn.IFS(TRIM(SUBSTITUTE(Y24,CHAR(160),""))="Devis 1",IFERROR(VALUE(TRIM(SUBSTITUTE(M24,CHAR(160),""))),0),TRIM(SUBSTITUTE(Y24,CHAR(160),""))="Devis 2",IFERROR(VALUE(TRIM(SUBSTITUTE(R24,CHAR(160),""))),0),TRIM(SUBSTITUTE(Y24,CHAR(160),""))="Devis 3",IFERROR(VALUE(TRIM(SUBSTITUTE(W24,CHAR(160),""))),0),TRUE,0)*IFERROR(VALUE(TRIM(SUBSTITUTE(C24,CHAR(160),""))),0))</f>
        <v/>
      </c>
      <c r="AB24" s="285" t="str">
        <f t="shared" si="24"/>
        <v/>
      </c>
      <c r="AC24" s="209"/>
      <c r="AD24" s="747" t="str">
        <f t="shared" si="0"/>
        <v/>
      </c>
      <c r="AE24" s="747" t="str">
        <f t="shared" si="1"/>
        <v/>
      </c>
      <c r="AF24" s="747" t="str">
        <f t="shared" si="2"/>
        <v/>
      </c>
      <c r="AG24" s="747" t="str">
        <f t="shared" si="3"/>
        <v/>
      </c>
      <c r="AH24" s="747" t="str">
        <f t="shared" si="4"/>
        <v/>
      </c>
      <c r="AI24" s="747" t="str">
        <f t="shared" si="25"/>
        <v/>
      </c>
      <c r="AJ24" s="747" t="str">
        <f t="shared" si="26"/>
        <v/>
      </c>
      <c r="AK24" s="776" t="str">
        <f t="shared" si="27"/>
        <v/>
      </c>
      <c r="AL24" s="802" t="str">
        <f t="shared" si="28"/>
        <v/>
      </c>
      <c r="AM24" s="747" t="str">
        <f t="shared" si="29"/>
        <v/>
      </c>
      <c r="AN24" s="771" t="str">
        <f t="shared" si="30"/>
        <v/>
      </c>
      <c r="AO24" s="771" t="str">
        <f t="shared" si="31"/>
        <v/>
      </c>
      <c r="AP24" s="808" t="str">
        <f t="shared" si="32"/>
        <v/>
      </c>
      <c r="AQ24" s="819" t="str">
        <f t="shared" si="33"/>
        <v/>
      </c>
      <c r="AR24" s="771" t="str">
        <f t="shared" si="34"/>
        <v/>
      </c>
      <c r="AS24" s="771" t="str">
        <f t="shared" si="35"/>
        <v/>
      </c>
      <c r="AT24" s="771" t="str">
        <f t="shared" si="36"/>
        <v/>
      </c>
      <c r="AU24" s="808" t="str">
        <f t="shared" si="37"/>
        <v/>
      </c>
      <c r="AV24" s="842" t="str">
        <f t="shared" si="38"/>
        <v/>
      </c>
      <c r="AW24" s="771" t="str">
        <f t="shared" si="39"/>
        <v/>
      </c>
      <c r="AX24" s="771" t="str">
        <f t="shared" si="40"/>
        <v/>
      </c>
      <c r="AY24" s="771" t="str">
        <f t="shared" si="41"/>
        <v/>
      </c>
      <c r="AZ24" s="831" t="str">
        <f t="shared" si="42"/>
        <v/>
      </c>
      <c r="BA24" s="835" t="str">
        <f t="shared" si="43"/>
        <v/>
      </c>
      <c r="BB24" s="772"/>
      <c r="BC24" s="275" t="str">
        <f t="shared" si="44"/>
        <v/>
      </c>
      <c r="BD24" s="275" t="str">
        <f t="shared" si="45"/>
        <v/>
      </c>
      <c r="BE24" s="886" t="str">
        <f t="shared" si="46"/>
        <v/>
      </c>
      <c r="BF24" s="873" t="str" cm="1">
        <f t="array" ref="BF24">IF($AE24="","",
_xlfn.IFS(
$BA24="Devis 1",
IF(ISBLANK(AN24),"",IFERROR(VALUE(TRIM(SUBSTITUTE(AN24,CHAR(160),""))),0)*IFERROR(VALUE(TRIM(SUBSTITUTE($AE24,CHAR(160),""))),0)),
$BA24="Devis 2",
IF(ISBLANK(AS24),"",IFERROR(VALUE(TRIM(SUBSTITUTE(AS24,CHAR(160),""))),0)*IFERROR(VALUE(TRIM(SUBSTITUTE($AE24,CHAR(160),""))),0)),
$BA24="Devis 3",
IF(ISBLANK(AX24),"",IFERROR(VALUE(TRIM(SUBSTITUTE(AX24,CHAR(160),""))),0)*IFERROR(VALUE(TRIM(SUBSTITUTE($AE24,CHAR(160),""))),0)),
TRUE,0
)
)</f>
        <v/>
      </c>
      <c r="BG24" s="873" t="str" cm="1">
        <f t="array" ref="BG24">IF($AE24="","",
_xlfn.IFS(
$BA24="Devis 1",
IF(ISBLANK(AO24),"",IFERROR(VALUE(TRIM(SUBSTITUTE(AO24,CHAR(160),""))),0)*IFERROR(VALUE(TRIM(SUBSTITUTE($AE24,CHAR(160),""))),0)),
$BA24="Devis 2",
IF(ISBLANK(AT24),"",IFERROR(VALUE(TRIM(SUBSTITUTE(AT24,CHAR(160),""))),0)*IFERROR(VALUE(TRIM(SUBSTITUTE($AE24,CHAR(160),""))),0)),
$BA24="Devis 3",
IF(ISBLANK(AY24),"",IFERROR(VALUE(TRIM(SUBSTITUTE(AY24,CHAR(160),""))),0)*IFERROR(VALUE(TRIM(SUBSTITUTE($AE24,CHAR(160),""))),0)),
TRUE,0
)
)</f>
        <v/>
      </c>
      <c r="BH24" s="874" t="str">
        <f t="shared" si="47"/>
        <v/>
      </c>
      <c r="BI24" s="866"/>
      <c r="BJ24" s="774" t="str" cm="1">
        <f t="array" ref="BJ24">IF(OR(BH24="",BE24="",BF24="",BC24="",BG24="",BD24=""),"",_xlfn.IFS(
ROUND(IFERROR(VALUE(TRIM(SUBSTITUTE(BH24,CHAR(160),""))),0),2)&gt;
ROUND(IFERROR(VALUE(TRIM(SUBSTITUTE(BE24,CHAR(160),""))),0),2),
"KO : Le montant retenu TTC est supérieur au montant raisonnable TTC. Merci de revoir la ligne de dépense ou plafonner son montant.",
ROUND(IFERROR(VALUE(TRIM(SUBSTITUTE(BF24,CHAR(160),""))),0),2)&gt;
ROUND(IFERROR(VALUE(TRIM(SUBSTITUTE(BC24,CHAR(160),""))),0),2),
"Attention : Le montant retenu HT est supérieur au montant HT raisonnable. Merci de revoir la ligne de dépense, plafonner son montant, ou justifier la reventillation HT / TVA.",
ROUND(IFERROR(VALUE(TRIM(SUBSTITUTE(BG24,CHAR(160),""))),0),2)&gt;
ROUND(IFERROR(VALUE(TRIM(SUBSTITUTE(BD24,CHAR(160),""))),0),2),
"Attention : Le montant TVA retenu est supérieur au montant TVA raisonnable. Merci de revoir la ligne de dépense, plafonner son montant, ou justifier la reventillation HT / TVA.",
ROUND(IFERROR(VALUE(TRIM(SUBSTITUTE(BH24,CHAR(160),""))),0),2)&gt;
ROUND(IFERROR(VALUE(TRIM(SUBSTITUTE(MIN(N24,S24,X24),CHAR(160),""))),0),2),
"Attention : Le devis retenu n'est pas le moins cher. Une justification de la part du porteur est nécessaire.",
ROUND(IFERROR(VALUE(TRIM(SUBSTITUTE(BH24,CHAR(160),""))),0),2)=0,
"Attention : montant présenté entièrement écarté",
ROUND(IFERROR(VALUE(TRIM(SUBSTITUTE(BE24,CHAR(160),""))),0),2)=
ROUND(IFERROR(VALUE(TRIM(SUBSTITUTE(BH24,CHAR(160),""))),0),2),
"OK",
ROUND(IFERROR(VALUE(TRIM(SUBSTITUTE(BE24,CHAR(160),""))),0),2)&gt;
ROUND(IFERROR(VALUE(TRIM(SUBSTITUTE(BH24,CHAR(160),""))),0),2),
" OK : Montant instruit inférieur au montant raisonnable.",
TRUE,""
))</f>
        <v/>
      </c>
      <c r="BK24" s="774" t="str" cm="1">
        <f t="array" ref="BK24">IF(OR(BH24="",AB24="",BF24="",Z24="",BG24="",AA24=""),"",_xlfn.IFS(
ROUND(IFERROR(VALUE(TRIM(SUBSTITUTE(BH24,CHAR(160),""))),0),2)&gt;
ROUND(IFERROR(VALUE(TRIM(SUBSTITUTE(AB24,CHAR(160),""))),0),2),
"KO : Le montant retenu TTC est supérieur au montant présenté TTC. Merci de revoir la ligne de dépense ou plafonner son montant.",
ROUND(IFERROR(VALUE(TRIM(SUBSTITUTE(BF24,CHAR(160),""))),0),2)&gt;
ROUND(IFERROR(VALUE(TRIM(SUBSTITUTE(Z24,CHAR(160),""))),0),2),
"Attention : Le montant retenu HT est supérieur au montant HT présenté. Merci de revoir la ligne de dépense, plafonner son montant, ou justifier la reventillation HT / TVA.",
ROUND(IFERROR(VALUE(TRIM(SUBSTITUTE(BG24,CHAR(160),""))),0),2)&gt;
ROUND(IFERROR(VALUE(TRIM(SUBSTITUTE(AA24,CHAR(160),""))),0),2),
"Attention : Le montant TVA retenu est supérieur au montant TVA présenté. Merci de revoir la ligne de dépense, plafonner son montant, ou justifier la reventillation HT / TVA.",
ROUND(IFERROR(VALUE(TRIM(SUBSTITUTE(AB24,CHAR(160),""))),0),2)=0,
"",
ROUND(IFERROR(VALUE(TRIM(SUBSTITUTE(BH24,CHAR(160),""))),0),2)=
ROUND(IFERROR(VALUE(TRIM(SUBSTITUTE(AB24,CHAR(160),""))),0),2),
"OK",
ROUND(IFERROR(VALUE(TRIM(SUBSTITUTE(BH24,CHAR(160),""))),0),2)=0,
"Attention : Montant présenté entièrement rejeté.",
ROUND(IFERROR(VALUE(TRIM(SUBSTITUTE(BH24,CHAR(160),""))),0),2)&lt;
ROUND(IFERROR(VALUE(TRIM(SUBSTITUTE(AB24,CHAR(160),""))),0),2),
"Attention : Montant présenté partiellement rejeté.",
TRUE,""
))</f>
        <v/>
      </c>
      <c r="BL24" s="773" t="str">
        <f t="shared" si="48"/>
        <v/>
      </c>
      <c r="BM24" s="773" t="str">
        <f t="shared" si="49"/>
        <v/>
      </c>
      <c r="BN24" s="773" t="str">
        <f t="shared" si="50"/>
        <v/>
      </c>
    </row>
    <row r="25" spans="1:66" ht="15" customHeight="1">
      <c r="A25" s="193">
        <v>21</v>
      </c>
      <c r="B25" s="7"/>
      <c r="C25" s="9"/>
      <c r="D25" s="30"/>
      <c r="E25" s="36"/>
      <c r="F25" s="34"/>
      <c r="G25" s="35"/>
      <c r="H25" s="685"/>
      <c r="I25" s="786"/>
      <c r="J25" s="792"/>
      <c r="K25" s="758"/>
      <c r="L25" s="761"/>
      <c r="M25" s="762"/>
      <c r="N25" s="808" t="str">
        <f t="shared" si="21"/>
        <v/>
      </c>
      <c r="O25" s="846"/>
      <c r="P25" s="847"/>
      <c r="Q25" s="762"/>
      <c r="R25" s="762"/>
      <c r="S25" s="808" t="str">
        <f t="shared" si="22"/>
        <v/>
      </c>
      <c r="T25" s="850"/>
      <c r="U25" s="847"/>
      <c r="V25" s="762"/>
      <c r="W25" s="762"/>
      <c r="X25" s="830" t="str">
        <f t="shared" si="23"/>
        <v/>
      </c>
      <c r="Y25" s="246"/>
      <c r="Z25" s="284" t="str" cm="1">
        <f t="array" ref="Z25">IF((_xlfn.IFS(TRIM(SUBSTITUTE(Y25,CHAR(160),""))="Devis 1",IFERROR(VALUE(TRIM(SUBSTITUTE(L25,CHAR(160),""))),0),TRIM(SUBSTITUTE(Y25,CHAR(160),""))="Devis 2",IFERROR(VALUE(TRIM(SUBSTITUTE(Q25,CHAR(160),""))),0),TRIM(SUBSTITUTE(Y25,CHAR(160),""))="Devis 3",IFERROR(VALUE(TRIM(SUBSTITUTE(V25,CHAR(160),""))),0),TRUE,0)*IFERROR(VALUE(TRIM(SUBSTITUTE(C25,CHAR(160),""))),0))=0,"",_xlfn.IFS(TRIM(SUBSTITUTE(Y25,CHAR(160),""))="Devis 1",IFERROR(VALUE(TRIM(SUBSTITUTE(L25,CHAR(160),""))),0),TRIM(SUBSTITUTE(Y25,CHAR(160),""))="Devis 2",IFERROR(VALUE(TRIM(SUBSTITUTE(Q25,CHAR(160),""))),0),TRIM(SUBSTITUTE(Y25,CHAR(160),""))="Devis 3",IFERROR(VALUE(TRIM(SUBSTITUTE(V25,CHAR(160),""))),0),TRUE,0)*IFERROR(VALUE(TRIM(SUBSTITUTE(C25,CHAR(160),""))),0))</f>
        <v/>
      </c>
      <c r="AA25" s="275" t="str" cm="1">
        <f t="array" ref="AA25">IF((_xlfn.IFS(TRIM(SUBSTITUTE(Y25,CHAR(160),""))="Devis 1",IFERROR(VALUE(TRIM(SUBSTITUTE(M25,CHAR(160),""))),0),TRIM(SUBSTITUTE(Y25,CHAR(160),""))="Devis 2",IFERROR(VALUE(TRIM(SUBSTITUTE(R25,CHAR(160),""))),0),TRIM(SUBSTITUTE(Y25,CHAR(160),""))="Devis 3",IFERROR(VALUE(TRIM(SUBSTITUTE(W25,CHAR(160),""))),0),TRUE,0)*IFERROR(VALUE(TRIM(SUBSTITUTE(C25,CHAR(160),""))),0))=0,IF(Z25&lt;&gt;"",0,""),_xlfn.IFS(TRIM(SUBSTITUTE(Y25,CHAR(160),""))="Devis 1",IFERROR(VALUE(TRIM(SUBSTITUTE(M25,CHAR(160),""))),0),TRIM(SUBSTITUTE(Y25,CHAR(160),""))="Devis 2",IFERROR(VALUE(TRIM(SUBSTITUTE(R25,CHAR(160),""))),0),TRIM(SUBSTITUTE(Y25,CHAR(160),""))="Devis 3",IFERROR(VALUE(TRIM(SUBSTITUTE(W25,CHAR(160),""))),0),TRUE,0)*IFERROR(VALUE(TRIM(SUBSTITUTE(C25,CHAR(160),""))),0))</f>
        <v/>
      </c>
      <c r="AB25" s="285" t="str">
        <f t="shared" si="24"/>
        <v/>
      </c>
      <c r="AC25" s="209"/>
      <c r="AD25" s="747" t="str">
        <f t="shared" si="0"/>
        <v/>
      </c>
      <c r="AE25" s="747" t="str">
        <f t="shared" si="1"/>
        <v/>
      </c>
      <c r="AF25" s="747" t="str">
        <f t="shared" si="2"/>
        <v/>
      </c>
      <c r="AG25" s="747" t="str">
        <f t="shared" si="3"/>
        <v/>
      </c>
      <c r="AH25" s="747" t="str">
        <f t="shared" si="4"/>
        <v/>
      </c>
      <c r="AI25" s="747" t="str">
        <f t="shared" si="25"/>
        <v/>
      </c>
      <c r="AJ25" s="747" t="str">
        <f t="shared" si="26"/>
        <v/>
      </c>
      <c r="AK25" s="776" t="str">
        <f t="shared" si="27"/>
        <v/>
      </c>
      <c r="AL25" s="802" t="str">
        <f t="shared" si="28"/>
        <v/>
      </c>
      <c r="AM25" s="747" t="str">
        <f t="shared" si="29"/>
        <v/>
      </c>
      <c r="AN25" s="771" t="str">
        <f t="shared" si="30"/>
        <v/>
      </c>
      <c r="AO25" s="771" t="str">
        <f t="shared" si="31"/>
        <v/>
      </c>
      <c r="AP25" s="808" t="str">
        <f t="shared" si="32"/>
        <v/>
      </c>
      <c r="AQ25" s="819" t="str">
        <f t="shared" si="33"/>
        <v/>
      </c>
      <c r="AR25" s="771" t="str">
        <f t="shared" si="34"/>
        <v/>
      </c>
      <c r="AS25" s="771" t="str">
        <f t="shared" si="35"/>
        <v/>
      </c>
      <c r="AT25" s="771" t="str">
        <f t="shared" si="36"/>
        <v/>
      </c>
      <c r="AU25" s="808" t="str">
        <f t="shared" si="37"/>
        <v/>
      </c>
      <c r="AV25" s="842" t="str">
        <f t="shared" si="38"/>
        <v/>
      </c>
      <c r="AW25" s="771" t="str">
        <f t="shared" si="39"/>
        <v/>
      </c>
      <c r="AX25" s="771" t="str">
        <f t="shared" si="40"/>
        <v/>
      </c>
      <c r="AY25" s="771" t="str">
        <f t="shared" si="41"/>
        <v/>
      </c>
      <c r="AZ25" s="831" t="str">
        <f t="shared" si="42"/>
        <v/>
      </c>
      <c r="BA25" s="835" t="str">
        <f t="shared" si="43"/>
        <v/>
      </c>
      <c r="BB25" s="772"/>
      <c r="BC25" s="275" t="str">
        <f t="shared" si="44"/>
        <v/>
      </c>
      <c r="BD25" s="275" t="str">
        <f t="shared" si="45"/>
        <v/>
      </c>
      <c r="BE25" s="886" t="str">
        <f t="shared" si="46"/>
        <v/>
      </c>
      <c r="BF25" s="873" t="str" cm="1">
        <f t="array" ref="BF25">IF($AE25="","",
_xlfn.IFS(
$BA25="Devis 1",
IF(ISBLANK(AN25),"",IFERROR(VALUE(TRIM(SUBSTITUTE(AN25,CHAR(160),""))),0)*IFERROR(VALUE(TRIM(SUBSTITUTE($AE25,CHAR(160),""))),0)),
$BA25="Devis 2",
IF(ISBLANK(AS25),"",IFERROR(VALUE(TRIM(SUBSTITUTE(AS25,CHAR(160),""))),0)*IFERROR(VALUE(TRIM(SUBSTITUTE($AE25,CHAR(160),""))),0)),
$BA25="Devis 3",
IF(ISBLANK(AX25),"",IFERROR(VALUE(TRIM(SUBSTITUTE(AX25,CHAR(160),""))),0)*IFERROR(VALUE(TRIM(SUBSTITUTE($AE25,CHAR(160),""))),0)),
TRUE,0
)
)</f>
        <v/>
      </c>
      <c r="BG25" s="873" t="str" cm="1">
        <f t="array" ref="BG25">IF($AE25="","",
_xlfn.IFS(
$BA25="Devis 1",
IF(ISBLANK(AO25),"",IFERROR(VALUE(TRIM(SUBSTITUTE(AO25,CHAR(160),""))),0)*IFERROR(VALUE(TRIM(SUBSTITUTE($AE25,CHAR(160),""))),0)),
$BA25="Devis 2",
IF(ISBLANK(AT25),"",IFERROR(VALUE(TRIM(SUBSTITUTE(AT25,CHAR(160),""))),0)*IFERROR(VALUE(TRIM(SUBSTITUTE($AE25,CHAR(160),""))),0)),
$BA25="Devis 3",
IF(ISBLANK(AY25),"",IFERROR(VALUE(TRIM(SUBSTITUTE(AY25,CHAR(160),""))),0)*IFERROR(VALUE(TRIM(SUBSTITUTE($AE25,CHAR(160),""))),0)),
TRUE,0
)
)</f>
        <v/>
      </c>
      <c r="BH25" s="874" t="str">
        <f t="shared" si="47"/>
        <v/>
      </c>
      <c r="BI25" s="866"/>
      <c r="BJ25" s="774" t="str" cm="1">
        <f t="array" ref="BJ25">IF(OR(BH25="",BE25="",BF25="",BC25="",BG25="",BD25=""),"",_xlfn.IFS(
ROUND(IFERROR(VALUE(TRIM(SUBSTITUTE(BH25,CHAR(160),""))),0),2)&gt;
ROUND(IFERROR(VALUE(TRIM(SUBSTITUTE(BE25,CHAR(160),""))),0),2),
"KO : Le montant retenu TTC est supérieur au montant raisonnable TTC. Merci de revoir la ligne de dépense ou plafonner son montant.",
ROUND(IFERROR(VALUE(TRIM(SUBSTITUTE(BF25,CHAR(160),""))),0),2)&gt;
ROUND(IFERROR(VALUE(TRIM(SUBSTITUTE(BC25,CHAR(160),""))),0),2),
"Attention : Le montant retenu HT est supérieur au montant HT raisonnable. Merci de revoir la ligne de dépense, plafonner son montant, ou justifier la reventillation HT / TVA.",
ROUND(IFERROR(VALUE(TRIM(SUBSTITUTE(BG25,CHAR(160),""))),0),2)&gt;
ROUND(IFERROR(VALUE(TRIM(SUBSTITUTE(BD25,CHAR(160),""))),0),2),
"Attention : Le montant TVA retenu est supérieur au montant TVA raisonnable. Merci de revoir la ligne de dépense, plafonner son montant, ou justifier la reventillation HT / TVA.",
ROUND(IFERROR(VALUE(TRIM(SUBSTITUTE(BH25,CHAR(160),""))),0),2)&gt;
ROUND(IFERROR(VALUE(TRIM(SUBSTITUTE(MIN(N25,S25,X25),CHAR(160),""))),0),2),
"Attention : Le devis retenu n'est pas le moins cher. Une justification de la part du porteur est nécessaire.",
ROUND(IFERROR(VALUE(TRIM(SUBSTITUTE(BH25,CHAR(160),""))),0),2)=0,
"Attention : montant présenté entièrement écarté",
ROUND(IFERROR(VALUE(TRIM(SUBSTITUTE(BE25,CHAR(160),""))),0),2)=
ROUND(IFERROR(VALUE(TRIM(SUBSTITUTE(BH25,CHAR(160),""))),0),2),
"OK",
ROUND(IFERROR(VALUE(TRIM(SUBSTITUTE(BE25,CHAR(160),""))),0),2)&gt;
ROUND(IFERROR(VALUE(TRIM(SUBSTITUTE(BH25,CHAR(160),""))),0),2),
" OK : Montant instruit inférieur au montant raisonnable.",
TRUE,""
))</f>
        <v/>
      </c>
      <c r="BK25" s="774" t="str" cm="1">
        <f t="array" ref="BK25">IF(OR(BH25="",AB25="",BF25="",Z25="",BG25="",AA25=""),"",_xlfn.IFS(
ROUND(IFERROR(VALUE(TRIM(SUBSTITUTE(BH25,CHAR(160),""))),0),2)&gt;
ROUND(IFERROR(VALUE(TRIM(SUBSTITUTE(AB25,CHAR(160),""))),0),2),
"KO : Le montant retenu TTC est supérieur au montant présenté TTC. Merci de revoir la ligne de dépense ou plafonner son montant.",
ROUND(IFERROR(VALUE(TRIM(SUBSTITUTE(BF25,CHAR(160),""))),0),2)&gt;
ROUND(IFERROR(VALUE(TRIM(SUBSTITUTE(Z25,CHAR(160),""))),0),2),
"Attention : Le montant retenu HT est supérieur au montant HT présenté. Merci de revoir la ligne de dépense, plafonner son montant, ou justifier la reventillation HT / TVA.",
ROUND(IFERROR(VALUE(TRIM(SUBSTITUTE(BG25,CHAR(160),""))),0),2)&gt;
ROUND(IFERROR(VALUE(TRIM(SUBSTITUTE(AA25,CHAR(160),""))),0),2),
"Attention : Le montant TVA retenu est supérieur au montant TVA présenté. Merci de revoir la ligne de dépense, plafonner son montant, ou justifier la reventillation HT / TVA.",
ROUND(IFERROR(VALUE(TRIM(SUBSTITUTE(AB25,CHAR(160),""))),0),2)=0,
"",
ROUND(IFERROR(VALUE(TRIM(SUBSTITUTE(BH25,CHAR(160),""))),0),2)=
ROUND(IFERROR(VALUE(TRIM(SUBSTITUTE(AB25,CHAR(160),""))),0),2),
"OK",
ROUND(IFERROR(VALUE(TRIM(SUBSTITUTE(BH25,CHAR(160),""))),0),2)=0,
"Attention : Montant présenté entièrement rejeté.",
ROUND(IFERROR(VALUE(TRIM(SUBSTITUTE(BH25,CHAR(160),""))),0),2)&lt;
ROUND(IFERROR(VALUE(TRIM(SUBSTITUTE(AB25,CHAR(160),""))),0),2),
"Attention : Montant présenté partiellement rejeté.",
TRUE,""
))</f>
        <v/>
      </c>
      <c r="BL25" s="773" t="str">
        <f t="shared" si="48"/>
        <v/>
      </c>
      <c r="BM25" s="773" t="str">
        <f t="shared" si="49"/>
        <v/>
      </c>
      <c r="BN25" s="773" t="str">
        <f t="shared" si="50"/>
        <v/>
      </c>
    </row>
    <row r="26" spans="1:66" ht="15" customHeight="1">
      <c r="A26" s="193">
        <v>22</v>
      </c>
      <c r="B26" s="7"/>
      <c r="C26" s="9"/>
      <c r="D26" s="30"/>
      <c r="E26" s="36"/>
      <c r="F26" s="34"/>
      <c r="G26" s="35"/>
      <c r="H26" s="685"/>
      <c r="I26" s="786"/>
      <c r="J26" s="792"/>
      <c r="K26" s="758"/>
      <c r="L26" s="761"/>
      <c r="M26" s="762"/>
      <c r="N26" s="808" t="str">
        <f t="shared" si="21"/>
        <v/>
      </c>
      <c r="O26" s="846"/>
      <c r="P26" s="847"/>
      <c r="Q26" s="762"/>
      <c r="R26" s="762"/>
      <c r="S26" s="808" t="str">
        <f t="shared" si="22"/>
        <v/>
      </c>
      <c r="T26" s="850"/>
      <c r="U26" s="847"/>
      <c r="V26" s="762"/>
      <c r="W26" s="762"/>
      <c r="X26" s="830" t="str">
        <f t="shared" si="23"/>
        <v/>
      </c>
      <c r="Y26" s="246"/>
      <c r="Z26" s="284" t="str" cm="1">
        <f t="array" ref="Z26">IF((_xlfn.IFS(TRIM(SUBSTITUTE(Y26,CHAR(160),""))="Devis 1",IFERROR(VALUE(TRIM(SUBSTITUTE(L26,CHAR(160),""))),0),TRIM(SUBSTITUTE(Y26,CHAR(160),""))="Devis 2",IFERROR(VALUE(TRIM(SUBSTITUTE(Q26,CHAR(160),""))),0),TRIM(SUBSTITUTE(Y26,CHAR(160),""))="Devis 3",IFERROR(VALUE(TRIM(SUBSTITUTE(V26,CHAR(160),""))),0),TRUE,0)*IFERROR(VALUE(TRIM(SUBSTITUTE(C26,CHAR(160),""))),0))=0,"",_xlfn.IFS(TRIM(SUBSTITUTE(Y26,CHAR(160),""))="Devis 1",IFERROR(VALUE(TRIM(SUBSTITUTE(L26,CHAR(160),""))),0),TRIM(SUBSTITUTE(Y26,CHAR(160),""))="Devis 2",IFERROR(VALUE(TRIM(SUBSTITUTE(Q26,CHAR(160),""))),0),TRIM(SUBSTITUTE(Y26,CHAR(160),""))="Devis 3",IFERROR(VALUE(TRIM(SUBSTITUTE(V26,CHAR(160),""))),0),TRUE,0)*IFERROR(VALUE(TRIM(SUBSTITUTE(C26,CHAR(160),""))),0))</f>
        <v/>
      </c>
      <c r="AA26" s="275" t="str" cm="1">
        <f t="array" ref="AA26">IF((_xlfn.IFS(TRIM(SUBSTITUTE(Y26,CHAR(160),""))="Devis 1",IFERROR(VALUE(TRIM(SUBSTITUTE(M26,CHAR(160),""))),0),TRIM(SUBSTITUTE(Y26,CHAR(160),""))="Devis 2",IFERROR(VALUE(TRIM(SUBSTITUTE(R26,CHAR(160),""))),0),TRIM(SUBSTITUTE(Y26,CHAR(160),""))="Devis 3",IFERROR(VALUE(TRIM(SUBSTITUTE(W26,CHAR(160),""))),0),TRUE,0)*IFERROR(VALUE(TRIM(SUBSTITUTE(C26,CHAR(160),""))),0))=0,IF(Z26&lt;&gt;"",0,""),_xlfn.IFS(TRIM(SUBSTITUTE(Y26,CHAR(160),""))="Devis 1",IFERROR(VALUE(TRIM(SUBSTITUTE(M26,CHAR(160),""))),0),TRIM(SUBSTITUTE(Y26,CHAR(160),""))="Devis 2",IFERROR(VALUE(TRIM(SUBSTITUTE(R26,CHAR(160),""))),0),TRIM(SUBSTITUTE(Y26,CHAR(160),""))="Devis 3",IFERROR(VALUE(TRIM(SUBSTITUTE(W26,CHAR(160),""))),0),TRUE,0)*IFERROR(VALUE(TRIM(SUBSTITUTE(C26,CHAR(160),""))),0))</f>
        <v/>
      </c>
      <c r="AB26" s="285" t="str">
        <f t="shared" si="24"/>
        <v/>
      </c>
      <c r="AC26" s="209"/>
      <c r="AD26" s="747" t="str">
        <f t="shared" si="0"/>
        <v/>
      </c>
      <c r="AE26" s="747" t="str">
        <f t="shared" si="1"/>
        <v/>
      </c>
      <c r="AF26" s="747" t="str">
        <f t="shared" si="2"/>
        <v/>
      </c>
      <c r="AG26" s="747" t="str">
        <f t="shared" si="3"/>
        <v/>
      </c>
      <c r="AH26" s="747" t="str">
        <f t="shared" si="4"/>
        <v/>
      </c>
      <c r="AI26" s="747" t="str">
        <f t="shared" si="25"/>
        <v/>
      </c>
      <c r="AJ26" s="747" t="str">
        <f t="shared" si="26"/>
        <v/>
      </c>
      <c r="AK26" s="776" t="str">
        <f t="shared" si="27"/>
        <v/>
      </c>
      <c r="AL26" s="802" t="str">
        <f t="shared" si="28"/>
        <v/>
      </c>
      <c r="AM26" s="747" t="str">
        <f t="shared" si="29"/>
        <v/>
      </c>
      <c r="AN26" s="771" t="str">
        <f t="shared" si="30"/>
        <v/>
      </c>
      <c r="AO26" s="771" t="str">
        <f t="shared" si="31"/>
        <v/>
      </c>
      <c r="AP26" s="808" t="str">
        <f t="shared" si="32"/>
        <v/>
      </c>
      <c r="AQ26" s="819" t="str">
        <f t="shared" si="33"/>
        <v/>
      </c>
      <c r="AR26" s="771" t="str">
        <f t="shared" si="34"/>
        <v/>
      </c>
      <c r="AS26" s="771" t="str">
        <f t="shared" si="35"/>
        <v/>
      </c>
      <c r="AT26" s="771" t="str">
        <f t="shared" si="36"/>
        <v/>
      </c>
      <c r="AU26" s="808" t="str">
        <f t="shared" si="37"/>
        <v/>
      </c>
      <c r="AV26" s="842" t="str">
        <f t="shared" si="38"/>
        <v/>
      </c>
      <c r="AW26" s="771" t="str">
        <f t="shared" si="39"/>
        <v/>
      </c>
      <c r="AX26" s="771" t="str">
        <f t="shared" si="40"/>
        <v/>
      </c>
      <c r="AY26" s="771" t="str">
        <f t="shared" si="41"/>
        <v/>
      </c>
      <c r="AZ26" s="831" t="str">
        <f t="shared" si="42"/>
        <v/>
      </c>
      <c r="BA26" s="835" t="str">
        <f t="shared" si="43"/>
        <v/>
      </c>
      <c r="BB26" s="772"/>
      <c r="BC26" s="275" t="str">
        <f t="shared" si="44"/>
        <v/>
      </c>
      <c r="BD26" s="275" t="str">
        <f t="shared" si="45"/>
        <v/>
      </c>
      <c r="BE26" s="886" t="str">
        <f t="shared" si="46"/>
        <v/>
      </c>
      <c r="BF26" s="873" t="str" cm="1">
        <f t="array" ref="BF26">IF($AE26="","",
_xlfn.IFS(
$BA26="Devis 1",
IF(ISBLANK(AN26),"",IFERROR(VALUE(TRIM(SUBSTITUTE(AN26,CHAR(160),""))),0)*IFERROR(VALUE(TRIM(SUBSTITUTE($AE26,CHAR(160),""))),0)),
$BA26="Devis 2",
IF(ISBLANK(AS26),"",IFERROR(VALUE(TRIM(SUBSTITUTE(AS26,CHAR(160),""))),0)*IFERROR(VALUE(TRIM(SUBSTITUTE($AE26,CHAR(160),""))),0)),
$BA26="Devis 3",
IF(ISBLANK(AX26),"",IFERROR(VALUE(TRIM(SUBSTITUTE(AX26,CHAR(160),""))),0)*IFERROR(VALUE(TRIM(SUBSTITUTE($AE26,CHAR(160),""))),0)),
TRUE,0
)
)</f>
        <v/>
      </c>
      <c r="BG26" s="873" t="str" cm="1">
        <f t="array" ref="BG26">IF($AE26="","",
_xlfn.IFS(
$BA26="Devis 1",
IF(ISBLANK(AO26),"",IFERROR(VALUE(TRIM(SUBSTITUTE(AO26,CHAR(160),""))),0)*IFERROR(VALUE(TRIM(SUBSTITUTE($AE26,CHAR(160),""))),0)),
$BA26="Devis 2",
IF(ISBLANK(AT26),"",IFERROR(VALUE(TRIM(SUBSTITUTE(AT26,CHAR(160),""))),0)*IFERROR(VALUE(TRIM(SUBSTITUTE($AE26,CHAR(160),""))),0)),
$BA26="Devis 3",
IF(ISBLANK(AY26),"",IFERROR(VALUE(TRIM(SUBSTITUTE(AY26,CHAR(160),""))),0)*IFERROR(VALUE(TRIM(SUBSTITUTE($AE26,CHAR(160),""))),0)),
TRUE,0
)
)</f>
        <v/>
      </c>
      <c r="BH26" s="874" t="str">
        <f t="shared" si="47"/>
        <v/>
      </c>
      <c r="BI26" s="866"/>
      <c r="BJ26" s="774" t="str" cm="1">
        <f t="array" ref="BJ26">IF(OR(BH26="",BE26="",BF26="",BC26="",BG26="",BD26=""),"",_xlfn.IFS(
ROUND(IFERROR(VALUE(TRIM(SUBSTITUTE(BH26,CHAR(160),""))),0),2)&gt;
ROUND(IFERROR(VALUE(TRIM(SUBSTITUTE(BE26,CHAR(160),""))),0),2),
"KO : Le montant retenu TTC est supérieur au montant raisonnable TTC. Merci de revoir la ligne de dépense ou plafonner son montant.",
ROUND(IFERROR(VALUE(TRIM(SUBSTITUTE(BF26,CHAR(160),""))),0),2)&gt;
ROUND(IFERROR(VALUE(TRIM(SUBSTITUTE(BC26,CHAR(160),""))),0),2),
"Attention : Le montant retenu HT est supérieur au montant HT raisonnable. Merci de revoir la ligne de dépense, plafonner son montant, ou justifier la reventillation HT / TVA.",
ROUND(IFERROR(VALUE(TRIM(SUBSTITUTE(BG26,CHAR(160),""))),0),2)&gt;
ROUND(IFERROR(VALUE(TRIM(SUBSTITUTE(BD26,CHAR(160),""))),0),2),
"Attention : Le montant TVA retenu est supérieur au montant TVA raisonnable. Merci de revoir la ligne de dépense, plafonner son montant, ou justifier la reventillation HT / TVA.",
ROUND(IFERROR(VALUE(TRIM(SUBSTITUTE(BH26,CHAR(160),""))),0),2)&gt;
ROUND(IFERROR(VALUE(TRIM(SUBSTITUTE(MIN(N26,S26,X26),CHAR(160),""))),0),2),
"Attention : Le devis retenu n'est pas le moins cher. Une justification de la part du porteur est nécessaire.",
ROUND(IFERROR(VALUE(TRIM(SUBSTITUTE(BH26,CHAR(160),""))),0),2)=0,
"Attention : montant présenté entièrement écarté",
ROUND(IFERROR(VALUE(TRIM(SUBSTITUTE(BE26,CHAR(160),""))),0),2)=
ROUND(IFERROR(VALUE(TRIM(SUBSTITUTE(BH26,CHAR(160),""))),0),2),
"OK",
ROUND(IFERROR(VALUE(TRIM(SUBSTITUTE(BE26,CHAR(160),""))),0),2)&gt;
ROUND(IFERROR(VALUE(TRIM(SUBSTITUTE(BH26,CHAR(160),""))),0),2),
" OK : Montant instruit inférieur au montant raisonnable.",
TRUE,""
))</f>
        <v/>
      </c>
      <c r="BK26" s="774" t="str" cm="1">
        <f t="array" ref="BK26">IF(OR(BH26="",AB26="",BF26="",Z26="",BG26="",AA26=""),"",_xlfn.IFS(
ROUND(IFERROR(VALUE(TRIM(SUBSTITUTE(BH26,CHAR(160),""))),0),2)&gt;
ROUND(IFERROR(VALUE(TRIM(SUBSTITUTE(AB26,CHAR(160),""))),0),2),
"KO : Le montant retenu TTC est supérieur au montant présenté TTC. Merci de revoir la ligne de dépense ou plafonner son montant.",
ROUND(IFERROR(VALUE(TRIM(SUBSTITUTE(BF26,CHAR(160),""))),0),2)&gt;
ROUND(IFERROR(VALUE(TRIM(SUBSTITUTE(Z26,CHAR(160),""))),0),2),
"Attention : Le montant retenu HT est supérieur au montant HT présenté. Merci de revoir la ligne de dépense, plafonner son montant, ou justifier la reventillation HT / TVA.",
ROUND(IFERROR(VALUE(TRIM(SUBSTITUTE(BG26,CHAR(160),""))),0),2)&gt;
ROUND(IFERROR(VALUE(TRIM(SUBSTITUTE(AA26,CHAR(160),""))),0),2),
"Attention : Le montant TVA retenu est supérieur au montant TVA présenté. Merci de revoir la ligne de dépense, plafonner son montant, ou justifier la reventillation HT / TVA.",
ROUND(IFERROR(VALUE(TRIM(SUBSTITUTE(AB26,CHAR(160),""))),0),2)=0,
"",
ROUND(IFERROR(VALUE(TRIM(SUBSTITUTE(BH26,CHAR(160),""))),0),2)=
ROUND(IFERROR(VALUE(TRIM(SUBSTITUTE(AB26,CHAR(160),""))),0),2),
"OK",
ROUND(IFERROR(VALUE(TRIM(SUBSTITUTE(BH26,CHAR(160),""))),0),2)=0,
"Attention : Montant présenté entièrement rejeté.",
ROUND(IFERROR(VALUE(TRIM(SUBSTITUTE(BH26,CHAR(160),""))),0),2)&lt;
ROUND(IFERROR(VALUE(TRIM(SUBSTITUTE(AB26,CHAR(160),""))),0),2),
"Attention : Montant présenté partiellement rejeté.",
TRUE,""
))</f>
        <v/>
      </c>
      <c r="BL26" s="773" t="str">
        <f t="shared" si="48"/>
        <v/>
      </c>
      <c r="BM26" s="773" t="str">
        <f t="shared" si="49"/>
        <v/>
      </c>
      <c r="BN26" s="773" t="str">
        <f t="shared" si="50"/>
        <v/>
      </c>
    </row>
    <row r="27" spans="1:66" ht="15" customHeight="1">
      <c r="A27" s="193">
        <v>23</v>
      </c>
      <c r="B27" s="7"/>
      <c r="C27" s="9"/>
      <c r="D27" s="30"/>
      <c r="E27" s="36"/>
      <c r="F27" s="34"/>
      <c r="G27" s="35"/>
      <c r="H27" s="685"/>
      <c r="I27" s="786"/>
      <c r="J27" s="792"/>
      <c r="K27" s="758"/>
      <c r="L27" s="761"/>
      <c r="M27" s="762"/>
      <c r="N27" s="808" t="str">
        <f t="shared" si="21"/>
        <v/>
      </c>
      <c r="O27" s="846"/>
      <c r="P27" s="847"/>
      <c r="Q27" s="762"/>
      <c r="R27" s="762"/>
      <c r="S27" s="808" t="str">
        <f t="shared" si="22"/>
        <v/>
      </c>
      <c r="T27" s="850"/>
      <c r="U27" s="847"/>
      <c r="V27" s="762"/>
      <c r="W27" s="762"/>
      <c r="X27" s="830" t="str">
        <f t="shared" si="23"/>
        <v/>
      </c>
      <c r="Y27" s="246"/>
      <c r="Z27" s="284" t="str" cm="1">
        <f t="array" ref="Z27">IF((_xlfn.IFS(TRIM(SUBSTITUTE(Y27,CHAR(160),""))="Devis 1",IFERROR(VALUE(TRIM(SUBSTITUTE(L27,CHAR(160),""))),0),TRIM(SUBSTITUTE(Y27,CHAR(160),""))="Devis 2",IFERROR(VALUE(TRIM(SUBSTITUTE(Q27,CHAR(160),""))),0),TRIM(SUBSTITUTE(Y27,CHAR(160),""))="Devis 3",IFERROR(VALUE(TRIM(SUBSTITUTE(V27,CHAR(160),""))),0),TRUE,0)*IFERROR(VALUE(TRIM(SUBSTITUTE(C27,CHAR(160),""))),0))=0,"",_xlfn.IFS(TRIM(SUBSTITUTE(Y27,CHAR(160),""))="Devis 1",IFERROR(VALUE(TRIM(SUBSTITUTE(L27,CHAR(160),""))),0),TRIM(SUBSTITUTE(Y27,CHAR(160),""))="Devis 2",IFERROR(VALUE(TRIM(SUBSTITUTE(Q27,CHAR(160),""))),0),TRIM(SUBSTITUTE(Y27,CHAR(160),""))="Devis 3",IFERROR(VALUE(TRIM(SUBSTITUTE(V27,CHAR(160),""))),0),TRUE,0)*IFERROR(VALUE(TRIM(SUBSTITUTE(C27,CHAR(160),""))),0))</f>
        <v/>
      </c>
      <c r="AA27" s="275" t="str" cm="1">
        <f t="array" ref="AA27">IF((_xlfn.IFS(TRIM(SUBSTITUTE(Y27,CHAR(160),""))="Devis 1",IFERROR(VALUE(TRIM(SUBSTITUTE(M27,CHAR(160),""))),0),TRIM(SUBSTITUTE(Y27,CHAR(160),""))="Devis 2",IFERROR(VALUE(TRIM(SUBSTITUTE(R27,CHAR(160),""))),0),TRIM(SUBSTITUTE(Y27,CHAR(160),""))="Devis 3",IFERROR(VALUE(TRIM(SUBSTITUTE(W27,CHAR(160),""))),0),TRUE,0)*IFERROR(VALUE(TRIM(SUBSTITUTE(C27,CHAR(160),""))),0))=0,IF(Z27&lt;&gt;"",0,""),_xlfn.IFS(TRIM(SUBSTITUTE(Y27,CHAR(160),""))="Devis 1",IFERROR(VALUE(TRIM(SUBSTITUTE(M27,CHAR(160),""))),0),TRIM(SUBSTITUTE(Y27,CHAR(160),""))="Devis 2",IFERROR(VALUE(TRIM(SUBSTITUTE(R27,CHAR(160),""))),0),TRIM(SUBSTITUTE(Y27,CHAR(160),""))="Devis 3",IFERROR(VALUE(TRIM(SUBSTITUTE(W27,CHAR(160),""))),0),TRUE,0)*IFERROR(VALUE(TRIM(SUBSTITUTE(C27,CHAR(160),""))),0))</f>
        <v/>
      </c>
      <c r="AB27" s="285" t="str">
        <f t="shared" si="24"/>
        <v/>
      </c>
      <c r="AC27" s="209"/>
      <c r="AD27" s="747" t="str">
        <f t="shared" si="0"/>
        <v/>
      </c>
      <c r="AE27" s="747" t="str">
        <f t="shared" si="1"/>
        <v/>
      </c>
      <c r="AF27" s="747" t="str">
        <f t="shared" si="2"/>
        <v/>
      </c>
      <c r="AG27" s="747" t="str">
        <f t="shared" si="3"/>
        <v/>
      </c>
      <c r="AH27" s="747" t="str">
        <f t="shared" si="4"/>
        <v/>
      </c>
      <c r="AI27" s="747" t="str">
        <f t="shared" si="25"/>
        <v/>
      </c>
      <c r="AJ27" s="747" t="str">
        <f t="shared" si="26"/>
        <v/>
      </c>
      <c r="AK27" s="776" t="str">
        <f t="shared" si="27"/>
        <v/>
      </c>
      <c r="AL27" s="802" t="str">
        <f t="shared" si="28"/>
        <v/>
      </c>
      <c r="AM27" s="747" t="str">
        <f t="shared" si="29"/>
        <v/>
      </c>
      <c r="AN27" s="771" t="str">
        <f t="shared" si="30"/>
        <v/>
      </c>
      <c r="AO27" s="771" t="str">
        <f t="shared" si="31"/>
        <v/>
      </c>
      <c r="AP27" s="808" t="str">
        <f t="shared" si="32"/>
        <v/>
      </c>
      <c r="AQ27" s="819" t="str">
        <f t="shared" si="33"/>
        <v/>
      </c>
      <c r="AR27" s="771" t="str">
        <f t="shared" si="34"/>
        <v/>
      </c>
      <c r="AS27" s="771" t="str">
        <f t="shared" si="35"/>
        <v/>
      </c>
      <c r="AT27" s="771" t="str">
        <f t="shared" si="36"/>
        <v/>
      </c>
      <c r="AU27" s="808" t="str">
        <f t="shared" si="37"/>
        <v/>
      </c>
      <c r="AV27" s="842" t="str">
        <f t="shared" si="38"/>
        <v/>
      </c>
      <c r="AW27" s="771" t="str">
        <f t="shared" si="39"/>
        <v/>
      </c>
      <c r="AX27" s="771" t="str">
        <f t="shared" si="40"/>
        <v/>
      </c>
      <c r="AY27" s="771" t="str">
        <f t="shared" si="41"/>
        <v/>
      </c>
      <c r="AZ27" s="831" t="str">
        <f t="shared" si="42"/>
        <v/>
      </c>
      <c r="BA27" s="835" t="str">
        <f t="shared" si="43"/>
        <v/>
      </c>
      <c r="BB27" s="772"/>
      <c r="BC27" s="275" t="str">
        <f t="shared" si="44"/>
        <v/>
      </c>
      <c r="BD27" s="275" t="str">
        <f t="shared" si="45"/>
        <v/>
      </c>
      <c r="BE27" s="886" t="str">
        <f t="shared" si="46"/>
        <v/>
      </c>
      <c r="BF27" s="873" t="str" cm="1">
        <f t="array" ref="BF27">IF($AE27="","",
_xlfn.IFS(
$BA27="Devis 1",
IF(ISBLANK(AN27),"",IFERROR(VALUE(TRIM(SUBSTITUTE(AN27,CHAR(160),""))),0)*IFERROR(VALUE(TRIM(SUBSTITUTE($AE27,CHAR(160),""))),0)),
$BA27="Devis 2",
IF(ISBLANK(AS27),"",IFERROR(VALUE(TRIM(SUBSTITUTE(AS27,CHAR(160),""))),0)*IFERROR(VALUE(TRIM(SUBSTITUTE($AE27,CHAR(160),""))),0)),
$BA27="Devis 3",
IF(ISBLANK(AX27),"",IFERROR(VALUE(TRIM(SUBSTITUTE(AX27,CHAR(160),""))),0)*IFERROR(VALUE(TRIM(SUBSTITUTE($AE27,CHAR(160),""))),0)),
TRUE,0
)
)</f>
        <v/>
      </c>
      <c r="BG27" s="873" t="str" cm="1">
        <f t="array" ref="BG27">IF($AE27="","",
_xlfn.IFS(
$BA27="Devis 1",
IF(ISBLANK(AO27),"",IFERROR(VALUE(TRIM(SUBSTITUTE(AO27,CHAR(160),""))),0)*IFERROR(VALUE(TRIM(SUBSTITUTE($AE27,CHAR(160),""))),0)),
$BA27="Devis 2",
IF(ISBLANK(AT27),"",IFERROR(VALUE(TRIM(SUBSTITUTE(AT27,CHAR(160),""))),0)*IFERROR(VALUE(TRIM(SUBSTITUTE($AE27,CHAR(160),""))),0)),
$BA27="Devis 3",
IF(ISBLANK(AY27),"",IFERROR(VALUE(TRIM(SUBSTITUTE(AY27,CHAR(160),""))),0)*IFERROR(VALUE(TRIM(SUBSTITUTE($AE27,CHAR(160),""))),0)),
TRUE,0
)
)</f>
        <v/>
      </c>
      <c r="BH27" s="874" t="str">
        <f t="shared" si="47"/>
        <v/>
      </c>
      <c r="BI27" s="866"/>
      <c r="BJ27" s="774" t="str" cm="1">
        <f t="array" ref="BJ27">IF(OR(BH27="",BE27="",BF27="",BC27="",BG27="",BD27=""),"",_xlfn.IFS(
ROUND(IFERROR(VALUE(TRIM(SUBSTITUTE(BH27,CHAR(160),""))),0),2)&gt;
ROUND(IFERROR(VALUE(TRIM(SUBSTITUTE(BE27,CHAR(160),""))),0),2),
"KO : Le montant retenu TTC est supérieur au montant raisonnable TTC. Merci de revoir la ligne de dépense ou plafonner son montant.",
ROUND(IFERROR(VALUE(TRIM(SUBSTITUTE(BF27,CHAR(160),""))),0),2)&gt;
ROUND(IFERROR(VALUE(TRIM(SUBSTITUTE(BC27,CHAR(160),""))),0),2),
"Attention : Le montant retenu HT est supérieur au montant HT raisonnable. Merci de revoir la ligne de dépense, plafonner son montant, ou justifier la reventillation HT / TVA.",
ROUND(IFERROR(VALUE(TRIM(SUBSTITUTE(BG27,CHAR(160),""))),0),2)&gt;
ROUND(IFERROR(VALUE(TRIM(SUBSTITUTE(BD27,CHAR(160),""))),0),2),
"Attention : Le montant TVA retenu est supérieur au montant TVA raisonnable. Merci de revoir la ligne de dépense, plafonner son montant, ou justifier la reventillation HT / TVA.",
ROUND(IFERROR(VALUE(TRIM(SUBSTITUTE(BH27,CHAR(160),""))),0),2)&gt;
ROUND(IFERROR(VALUE(TRIM(SUBSTITUTE(MIN(N27,S27,X27),CHAR(160),""))),0),2),
"Attention : Le devis retenu n'est pas le moins cher. Une justification de la part du porteur est nécessaire.",
ROUND(IFERROR(VALUE(TRIM(SUBSTITUTE(BH27,CHAR(160),""))),0),2)=0,
"Attention : montant présenté entièrement écarté",
ROUND(IFERROR(VALUE(TRIM(SUBSTITUTE(BE27,CHAR(160),""))),0),2)=
ROUND(IFERROR(VALUE(TRIM(SUBSTITUTE(BH27,CHAR(160),""))),0),2),
"OK",
ROUND(IFERROR(VALUE(TRIM(SUBSTITUTE(BE27,CHAR(160),""))),0),2)&gt;
ROUND(IFERROR(VALUE(TRIM(SUBSTITUTE(BH27,CHAR(160),""))),0),2),
" OK : Montant instruit inférieur au montant raisonnable.",
TRUE,""
))</f>
        <v/>
      </c>
      <c r="BK27" s="774" t="str" cm="1">
        <f t="array" ref="BK27">IF(OR(BH27="",AB27="",BF27="",Z27="",BG27="",AA27=""),"",_xlfn.IFS(
ROUND(IFERROR(VALUE(TRIM(SUBSTITUTE(BH27,CHAR(160),""))),0),2)&gt;
ROUND(IFERROR(VALUE(TRIM(SUBSTITUTE(AB27,CHAR(160),""))),0),2),
"KO : Le montant retenu TTC est supérieur au montant présenté TTC. Merci de revoir la ligne de dépense ou plafonner son montant.",
ROUND(IFERROR(VALUE(TRIM(SUBSTITUTE(BF27,CHAR(160),""))),0),2)&gt;
ROUND(IFERROR(VALUE(TRIM(SUBSTITUTE(Z27,CHAR(160),""))),0),2),
"Attention : Le montant retenu HT est supérieur au montant HT présenté. Merci de revoir la ligne de dépense, plafonner son montant, ou justifier la reventillation HT / TVA.",
ROUND(IFERROR(VALUE(TRIM(SUBSTITUTE(BG27,CHAR(160),""))),0),2)&gt;
ROUND(IFERROR(VALUE(TRIM(SUBSTITUTE(AA27,CHAR(160),""))),0),2),
"Attention : Le montant TVA retenu est supérieur au montant TVA présenté. Merci de revoir la ligne de dépense, plafonner son montant, ou justifier la reventillation HT / TVA.",
ROUND(IFERROR(VALUE(TRIM(SUBSTITUTE(AB27,CHAR(160),""))),0),2)=0,
"",
ROUND(IFERROR(VALUE(TRIM(SUBSTITUTE(BH27,CHAR(160),""))),0),2)=
ROUND(IFERROR(VALUE(TRIM(SUBSTITUTE(AB27,CHAR(160),""))),0),2),
"OK",
ROUND(IFERROR(VALUE(TRIM(SUBSTITUTE(BH27,CHAR(160),""))),0),2)=0,
"Attention : Montant présenté entièrement rejeté.",
ROUND(IFERROR(VALUE(TRIM(SUBSTITUTE(BH27,CHAR(160),""))),0),2)&lt;
ROUND(IFERROR(VALUE(TRIM(SUBSTITUTE(AB27,CHAR(160),""))),0),2),
"Attention : Montant présenté partiellement rejeté.",
TRUE,""
))</f>
        <v/>
      </c>
      <c r="BL27" s="773" t="str">
        <f t="shared" si="48"/>
        <v/>
      </c>
      <c r="BM27" s="773" t="str">
        <f t="shared" si="49"/>
        <v/>
      </c>
      <c r="BN27" s="773" t="str">
        <f t="shared" si="50"/>
        <v/>
      </c>
    </row>
    <row r="28" spans="1:66" ht="15" customHeight="1">
      <c r="A28" s="193">
        <v>24</v>
      </c>
      <c r="B28" s="7"/>
      <c r="C28" s="9"/>
      <c r="D28" s="30"/>
      <c r="E28" s="36"/>
      <c r="F28" s="34"/>
      <c r="G28" s="35"/>
      <c r="H28" s="685"/>
      <c r="I28" s="786"/>
      <c r="J28" s="792"/>
      <c r="K28" s="758"/>
      <c r="L28" s="761"/>
      <c r="M28" s="762"/>
      <c r="N28" s="808" t="str">
        <f t="shared" si="21"/>
        <v/>
      </c>
      <c r="O28" s="846"/>
      <c r="P28" s="847"/>
      <c r="Q28" s="762"/>
      <c r="R28" s="762"/>
      <c r="S28" s="808" t="str">
        <f t="shared" si="22"/>
        <v/>
      </c>
      <c r="T28" s="850"/>
      <c r="U28" s="847"/>
      <c r="V28" s="762"/>
      <c r="W28" s="762"/>
      <c r="X28" s="830" t="str">
        <f t="shared" si="23"/>
        <v/>
      </c>
      <c r="Y28" s="246"/>
      <c r="Z28" s="284" t="str" cm="1">
        <f t="array" ref="Z28">IF((_xlfn.IFS(TRIM(SUBSTITUTE(Y28,CHAR(160),""))="Devis 1",IFERROR(VALUE(TRIM(SUBSTITUTE(L28,CHAR(160),""))),0),TRIM(SUBSTITUTE(Y28,CHAR(160),""))="Devis 2",IFERROR(VALUE(TRIM(SUBSTITUTE(Q28,CHAR(160),""))),0),TRIM(SUBSTITUTE(Y28,CHAR(160),""))="Devis 3",IFERROR(VALUE(TRIM(SUBSTITUTE(V28,CHAR(160),""))),0),TRUE,0)*IFERROR(VALUE(TRIM(SUBSTITUTE(C28,CHAR(160),""))),0))=0,"",_xlfn.IFS(TRIM(SUBSTITUTE(Y28,CHAR(160),""))="Devis 1",IFERROR(VALUE(TRIM(SUBSTITUTE(L28,CHAR(160),""))),0),TRIM(SUBSTITUTE(Y28,CHAR(160),""))="Devis 2",IFERROR(VALUE(TRIM(SUBSTITUTE(Q28,CHAR(160),""))),0),TRIM(SUBSTITUTE(Y28,CHAR(160),""))="Devis 3",IFERROR(VALUE(TRIM(SUBSTITUTE(V28,CHAR(160),""))),0),TRUE,0)*IFERROR(VALUE(TRIM(SUBSTITUTE(C28,CHAR(160),""))),0))</f>
        <v/>
      </c>
      <c r="AA28" s="275" t="str" cm="1">
        <f t="array" ref="AA28">IF((_xlfn.IFS(TRIM(SUBSTITUTE(Y28,CHAR(160),""))="Devis 1",IFERROR(VALUE(TRIM(SUBSTITUTE(M28,CHAR(160),""))),0),TRIM(SUBSTITUTE(Y28,CHAR(160),""))="Devis 2",IFERROR(VALUE(TRIM(SUBSTITUTE(R28,CHAR(160),""))),0),TRIM(SUBSTITUTE(Y28,CHAR(160),""))="Devis 3",IFERROR(VALUE(TRIM(SUBSTITUTE(W28,CHAR(160),""))),0),TRUE,0)*IFERROR(VALUE(TRIM(SUBSTITUTE(C28,CHAR(160),""))),0))=0,IF(Z28&lt;&gt;"",0,""),_xlfn.IFS(TRIM(SUBSTITUTE(Y28,CHAR(160),""))="Devis 1",IFERROR(VALUE(TRIM(SUBSTITUTE(M28,CHAR(160),""))),0),TRIM(SUBSTITUTE(Y28,CHAR(160),""))="Devis 2",IFERROR(VALUE(TRIM(SUBSTITUTE(R28,CHAR(160),""))),0),TRIM(SUBSTITUTE(Y28,CHAR(160),""))="Devis 3",IFERROR(VALUE(TRIM(SUBSTITUTE(W28,CHAR(160),""))),0),TRUE,0)*IFERROR(VALUE(TRIM(SUBSTITUTE(C28,CHAR(160),""))),0))</f>
        <v/>
      </c>
      <c r="AB28" s="285" t="str">
        <f t="shared" si="24"/>
        <v/>
      </c>
      <c r="AC28" s="209"/>
      <c r="AD28" s="747" t="str">
        <f t="shared" si="0"/>
        <v/>
      </c>
      <c r="AE28" s="747" t="str">
        <f t="shared" si="1"/>
        <v/>
      </c>
      <c r="AF28" s="747" t="str">
        <f t="shared" si="2"/>
        <v/>
      </c>
      <c r="AG28" s="747" t="str">
        <f t="shared" si="3"/>
        <v/>
      </c>
      <c r="AH28" s="747" t="str">
        <f t="shared" si="4"/>
        <v/>
      </c>
      <c r="AI28" s="747" t="str">
        <f t="shared" si="25"/>
        <v/>
      </c>
      <c r="AJ28" s="747" t="str">
        <f t="shared" si="26"/>
        <v/>
      </c>
      <c r="AK28" s="776" t="str">
        <f t="shared" si="27"/>
        <v/>
      </c>
      <c r="AL28" s="802" t="str">
        <f t="shared" si="28"/>
        <v/>
      </c>
      <c r="AM28" s="747" t="str">
        <f t="shared" si="29"/>
        <v/>
      </c>
      <c r="AN28" s="771" t="str">
        <f t="shared" si="30"/>
        <v/>
      </c>
      <c r="AO28" s="771" t="str">
        <f t="shared" si="31"/>
        <v/>
      </c>
      <c r="AP28" s="808" t="str">
        <f t="shared" si="32"/>
        <v/>
      </c>
      <c r="AQ28" s="819" t="str">
        <f t="shared" si="33"/>
        <v/>
      </c>
      <c r="AR28" s="771" t="str">
        <f t="shared" si="34"/>
        <v/>
      </c>
      <c r="AS28" s="771" t="str">
        <f t="shared" si="35"/>
        <v/>
      </c>
      <c r="AT28" s="771" t="str">
        <f t="shared" si="36"/>
        <v/>
      </c>
      <c r="AU28" s="808" t="str">
        <f t="shared" si="37"/>
        <v/>
      </c>
      <c r="AV28" s="842" t="str">
        <f t="shared" si="38"/>
        <v/>
      </c>
      <c r="AW28" s="771" t="str">
        <f t="shared" si="39"/>
        <v/>
      </c>
      <c r="AX28" s="771" t="str">
        <f t="shared" si="40"/>
        <v/>
      </c>
      <c r="AY28" s="771" t="str">
        <f t="shared" si="41"/>
        <v/>
      </c>
      <c r="AZ28" s="831" t="str">
        <f t="shared" si="42"/>
        <v/>
      </c>
      <c r="BA28" s="835" t="str">
        <f t="shared" si="43"/>
        <v/>
      </c>
      <c r="BB28" s="772"/>
      <c r="BC28" s="275" t="str">
        <f t="shared" si="44"/>
        <v/>
      </c>
      <c r="BD28" s="275" t="str">
        <f t="shared" si="45"/>
        <v/>
      </c>
      <c r="BE28" s="886" t="str">
        <f t="shared" si="46"/>
        <v/>
      </c>
      <c r="BF28" s="873" t="str" cm="1">
        <f t="array" ref="BF28">IF($AE28="","",
_xlfn.IFS(
$BA28="Devis 1",
IF(ISBLANK(AN28),"",IFERROR(VALUE(TRIM(SUBSTITUTE(AN28,CHAR(160),""))),0)*IFERROR(VALUE(TRIM(SUBSTITUTE($AE28,CHAR(160),""))),0)),
$BA28="Devis 2",
IF(ISBLANK(AS28),"",IFERROR(VALUE(TRIM(SUBSTITUTE(AS28,CHAR(160),""))),0)*IFERROR(VALUE(TRIM(SUBSTITUTE($AE28,CHAR(160),""))),0)),
$BA28="Devis 3",
IF(ISBLANK(AX28),"",IFERROR(VALUE(TRIM(SUBSTITUTE(AX28,CHAR(160),""))),0)*IFERROR(VALUE(TRIM(SUBSTITUTE($AE28,CHAR(160),""))),0)),
TRUE,0
)
)</f>
        <v/>
      </c>
      <c r="BG28" s="873" t="str" cm="1">
        <f t="array" ref="BG28">IF($AE28="","",
_xlfn.IFS(
$BA28="Devis 1",
IF(ISBLANK(AO28),"",IFERROR(VALUE(TRIM(SUBSTITUTE(AO28,CHAR(160),""))),0)*IFERROR(VALUE(TRIM(SUBSTITUTE($AE28,CHAR(160),""))),0)),
$BA28="Devis 2",
IF(ISBLANK(AT28),"",IFERROR(VALUE(TRIM(SUBSTITUTE(AT28,CHAR(160),""))),0)*IFERROR(VALUE(TRIM(SUBSTITUTE($AE28,CHAR(160),""))),0)),
$BA28="Devis 3",
IF(ISBLANK(AY28),"",IFERROR(VALUE(TRIM(SUBSTITUTE(AY28,CHAR(160),""))),0)*IFERROR(VALUE(TRIM(SUBSTITUTE($AE28,CHAR(160),""))),0)),
TRUE,0
)
)</f>
        <v/>
      </c>
      <c r="BH28" s="874" t="str">
        <f t="shared" si="47"/>
        <v/>
      </c>
      <c r="BI28" s="866"/>
      <c r="BJ28" s="774" t="str" cm="1">
        <f t="array" ref="BJ28">IF(OR(BH28="",BE28="",BF28="",BC28="",BG28="",BD28=""),"",_xlfn.IFS(
ROUND(IFERROR(VALUE(TRIM(SUBSTITUTE(BH28,CHAR(160),""))),0),2)&gt;
ROUND(IFERROR(VALUE(TRIM(SUBSTITUTE(BE28,CHAR(160),""))),0),2),
"KO : Le montant retenu TTC est supérieur au montant raisonnable TTC. Merci de revoir la ligne de dépense ou plafonner son montant.",
ROUND(IFERROR(VALUE(TRIM(SUBSTITUTE(BF28,CHAR(160),""))),0),2)&gt;
ROUND(IFERROR(VALUE(TRIM(SUBSTITUTE(BC28,CHAR(160),""))),0),2),
"Attention : Le montant retenu HT est supérieur au montant HT raisonnable. Merci de revoir la ligne de dépense, plafonner son montant, ou justifier la reventillation HT / TVA.",
ROUND(IFERROR(VALUE(TRIM(SUBSTITUTE(BG28,CHAR(160),""))),0),2)&gt;
ROUND(IFERROR(VALUE(TRIM(SUBSTITUTE(BD28,CHAR(160),""))),0),2),
"Attention : Le montant TVA retenu est supérieur au montant TVA raisonnable. Merci de revoir la ligne de dépense, plafonner son montant, ou justifier la reventillation HT / TVA.",
ROUND(IFERROR(VALUE(TRIM(SUBSTITUTE(BH28,CHAR(160),""))),0),2)&gt;
ROUND(IFERROR(VALUE(TRIM(SUBSTITUTE(MIN(N28,S28,X28),CHAR(160),""))),0),2),
"Attention : Le devis retenu n'est pas le moins cher. Une justification de la part du porteur est nécessaire.",
ROUND(IFERROR(VALUE(TRIM(SUBSTITUTE(BH28,CHAR(160),""))),0),2)=0,
"Attention : montant présenté entièrement écarté",
ROUND(IFERROR(VALUE(TRIM(SUBSTITUTE(BE28,CHAR(160),""))),0),2)=
ROUND(IFERROR(VALUE(TRIM(SUBSTITUTE(BH28,CHAR(160),""))),0),2),
"OK",
ROUND(IFERROR(VALUE(TRIM(SUBSTITUTE(BE28,CHAR(160),""))),0),2)&gt;
ROUND(IFERROR(VALUE(TRIM(SUBSTITUTE(BH28,CHAR(160),""))),0),2),
" OK : Montant instruit inférieur au montant raisonnable.",
TRUE,""
))</f>
        <v/>
      </c>
      <c r="BK28" s="774" t="str" cm="1">
        <f t="array" ref="BK28">IF(OR(BH28="",AB28="",BF28="",Z28="",BG28="",AA28=""),"",_xlfn.IFS(
ROUND(IFERROR(VALUE(TRIM(SUBSTITUTE(BH28,CHAR(160),""))),0),2)&gt;
ROUND(IFERROR(VALUE(TRIM(SUBSTITUTE(AB28,CHAR(160),""))),0),2),
"KO : Le montant retenu TTC est supérieur au montant présenté TTC. Merci de revoir la ligne de dépense ou plafonner son montant.",
ROUND(IFERROR(VALUE(TRIM(SUBSTITUTE(BF28,CHAR(160),""))),0),2)&gt;
ROUND(IFERROR(VALUE(TRIM(SUBSTITUTE(Z28,CHAR(160),""))),0),2),
"Attention : Le montant retenu HT est supérieur au montant HT présenté. Merci de revoir la ligne de dépense, plafonner son montant, ou justifier la reventillation HT / TVA.",
ROUND(IFERROR(VALUE(TRIM(SUBSTITUTE(BG28,CHAR(160),""))),0),2)&gt;
ROUND(IFERROR(VALUE(TRIM(SUBSTITUTE(AA28,CHAR(160),""))),0),2),
"Attention : Le montant TVA retenu est supérieur au montant TVA présenté. Merci de revoir la ligne de dépense, plafonner son montant, ou justifier la reventillation HT / TVA.",
ROUND(IFERROR(VALUE(TRIM(SUBSTITUTE(AB28,CHAR(160),""))),0),2)=0,
"",
ROUND(IFERROR(VALUE(TRIM(SUBSTITUTE(BH28,CHAR(160),""))),0),2)=
ROUND(IFERROR(VALUE(TRIM(SUBSTITUTE(AB28,CHAR(160),""))),0),2),
"OK",
ROUND(IFERROR(VALUE(TRIM(SUBSTITUTE(BH28,CHAR(160),""))),0),2)=0,
"Attention : Montant présenté entièrement rejeté.",
ROUND(IFERROR(VALUE(TRIM(SUBSTITUTE(BH28,CHAR(160),""))),0),2)&lt;
ROUND(IFERROR(VALUE(TRIM(SUBSTITUTE(AB28,CHAR(160),""))),0),2),
"Attention : Montant présenté partiellement rejeté.",
TRUE,""
))</f>
        <v/>
      </c>
      <c r="BL28" s="773" t="str">
        <f t="shared" si="48"/>
        <v/>
      </c>
      <c r="BM28" s="773" t="str">
        <f t="shared" si="49"/>
        <v/>
      </c>
      <c r="BN28" s="773" t="str">
        <f t="shared" si="50"/>
        <v/>
      </c>
    </row>
    <row r="29" spans="1:66" ht="15" customHeight="1">
      <c r="A29" s="193">
        <v>25</v>
      </c>
      <c r="B29" s="7"/>
      <c r="C29" s="9"/>
      <c r="D29" s="30"/>
      <c r="E29" s="36"/>
      <c r="F29" s="34"/>
      <c r="G29" s="35"/>
      <c r="H29" s="685"/>
      <c r="I29" s="786"/>
      <c r="J29" s="792"/>
      <c r="K29" s="758"/>
      <c r="L29" s="761"/>
      <c r="M29" s="762"/>
      <c r="N29" s="808" t="str">
        <f t="shared" si="21"/>
        <v/>
      </c>
      <c r="O29" s="846"/>
      <c r="P29" s="847"/>
      <c r="Q29" s="762"/>
      <c r="R29" s="762"/>
      <c r="S29" s="808" t="str">
        <f t="shared" si="22"/>
        <v/>
      </c>
      <c r="T29" s="850"/>
      <c r="U29" s="847"/>
      <c r="V29" s="762"/>
      <c r="W29" s="762"/>
      <c r="X29" s="830" t="str">
        <f t="shared" si="23"/>
        <v/>
      </c>
      <c r="Y29" s="246"/>
      <c r="Z29" s="284" t="str" cm="1">
        <f t="array" ref="Z29">IF((_xlfn.IFS(TRIM(SUBSTITUTE(Y29,CHAR(160),""))="Devis 1",IFERROR(VALUE(TRIM(SUBSTITUTE(L29,CHAR(160),""))),0),TRIM(SUBSTITUTE(Y29,CHAR(160),""))="Devis 2",IFERROR(VALUE(TRIM(SUBSTITUTE(Q29,CHAR(160),""))),0),TRIM(SUBSTITUTE(Y29,CHAR(160),""))="Devis 3",IFERROR(VALUE(TRIM(SUBSTITUTE(V29,CHAR(160),""))),0),TRUE,0)*IFERROR(VALUE(TRIM(SUBSTITUTE(C29,CHAR(160),""))),0))=0,"",_xlfn.IFS(TRIM(SUBSTITUTE(Y29,CHAR(160),""))="Devis 1",IFERROR(VALUE(TRIM(SUBSTITUTE(L29,CHAR(160),""))),0),TRIM(SUBSTITUTE(Y29,CHAR(160),""))="Devis 2",IFERROR(VALUE(TRIM(SUBSTITUTE(Q29,CHAR(160),""))),0),TRIM(SUBSTITUTE(Y29,CHAR(160),""))="Devis 3",IFERROR(VALUE(TRIM(SUBSTITUTE(V29,CHAR(160),""))),0),TRUE,0)*IFERROR(VALUE(TRIM(SUBSTITUTE(C29,CHAR(160),""))),0))</f>
        <v/>
      </c>
      <c r="AA29" s="275" t="str" cm="1">
        <f t="array" ref="AA29">IF((_xlfn.IFS(TRIM(SUBSTITUTE(Y29,CHAR(160),""))="Devis 1",IFERROR(VALUE(TRIM(SUBSTITUTE(M29,CHAR(160),""))),0),TRIM(SUBSTITUTE(Y29,CHAR(160),""))="Devis 2",IFERROR(VALUE(TRIM(SUBSTITUTE(R29,CHAR(160),""))),0),TRIM(SUBSTITUTE(Y29,CHAR(160),""))="Devis 3",IFERROR(VALUE(TRIM(SUBSTITUTE(W29,CHAR(160),""))),0),TRUE,0)*IFERROR(VALUE(TRIM(SUBSTITUTE(C29,CHAR(160),""))),0))=0,IF(Z29&lt;&gt;"",0,""),_xlfn.IFS(TRIM(SUBSTITUTE(Y29,CHAR(160),""))="Devis 1",IFERROR(VALUE(TRIM(SUBSTITUTE(M29,CHAR(160),""))),0),TRIM(SUBSTITUTE(Y29,CHAR(160),""))="Devis 2",IFERROR(VALUE(TRIM(SUBSTITUTE(R29,CHAR(160),""))),0),TRIM(SUBSTITUTE(Y29,CHAR(160),""))="Devis 3",IFERROR(VALUE(TRIM(SUBSTITUTE(W29,CHAR(160),""))),0),TRUE,0)*IFERROR(VALUE(TRIM(SUBSTITUTE(C29,CHAR(160),""))),0))</f>
        <v/>
      </c>
      <c r="AB29" s="285" t="str">
        <f t="shared" si="24"/>
        <v/>
      </c>
      <c r="AC29" s="209"/>
      <c r="AD29" s="747" t="str">
        <f t="shared" si="0"/>
        <v/>
      </c>
      <c r="AE29" s="747" t="str">
        <f t="shared" si="1"/>
        <v/>
      </c>
      <c r="AF29" s="747" t="str">
        <f t="shared" si="2"/>
        <v/>
      </c>
      <c r="AG29" s="747" t="str">
        <f t="shared" si="3"/>
        <v/>
      </c>
      <c r="AH29" s="747" t="str">
        <f t="shared" si="4"/>
        <v/>
      </c>
      <c r="AI29" s="747" t="str">
        <f t="shared" si="25"/>
        <v/>
      </c>
      <c r="AJ29" s="747" t="str">
        <f t="shared" si="26"/>
        <v/>
      </c>
      <c r="AK29" s="776" t="str">
        <f t="shared" si="27"/>
        <v/>
      </c>
      <c r="AL29" s="802" t="str">
        <f t="shared" si="28"/>
        <v/>
      </c>
      <c r="AM29" s="747" t="str">
        <f t="shared" si="29"/>
        <v/>
      </c>
      <c r="AN29" s="771" t="str">
        <f t="shared" si="30"/>
        <v/>
      </c>
      <c r="AO29" s="771" t="str">
        <f t="shared" si="31"/>
        <v/>
      </c>
      <c r="AP29" s="808" t="str">
        <f t="shared" si="32"/>
        <v/>
      </c>
      <c r="AQ29" s="819" t="str">
        <f t="shared" si="33"/>
        <v/>
      </c>
      <c r="AR29" s="771" t="str">
        <f t="shared" si="34"/>
        <v/>
      </c>
      <c r="AS29" s="771" t="str">
        <f t="shared" si="35"/>
        <v/>
      </c>
      <c r="AT29" s="771" t="str">
        <f t="shared" si="36"/>
        <v/>
      </c>
      <c r="AU29" s="808" t="str">
        <f t="shared" si="37"/>
        <v/>
      </c>
      <c r="AV29" s="842" t="str">
        <f t="shared" si="38"/>
        <v/>
      </c>
      <c r="AW29" s="771" t="str">
        <f t="shared" si="39"/>
        <v/>
      </c>
      <c r="AX29" s="771" t="str">
        <f t="shared" si="40"/>
        <v/>
      </c>
      <c r="AY29" s="771" t="str">
        <f t="shared" si="41"/>
        <v/>
      </c>
      <c r="AZ29" s="831" t="str">
        <f t="shared" si="42"/>
        <v/>
      </c>
      <c r="BA29" s="835" t="str">
        <f t="shared" si="43"/>
        <v/>
      </c>
      <c r="BB29" s="772"/>
      <c r="BC29" s="275" t="str">
        <f t="shared" si="44"/>
        <v/>
      </c>
      <c r="BD29" s="275" t="str">
        <f t="shared" si="45"/>
        <v/>
      </c>
      <c r="BE29" s="886" t="str">
        <f t="shared" si="46"/>
        <v/>
      </c>
      <c r="BF29" s="873" t="str" cm="1">
        <f t="array" ref="BF29">IF($AE29="","",
_xlfn.IFS(
$BA29="Devis 1",
IF(ISBLANK(AN29),"",IFERROR(VALUE(TRIM(SUBSTITUTE(AN29,CHAR(160),""))),0)*IFERROR(VALUE(TRIM(SUBSTITUTE($AE29,CHAR(160),""))),0)),
$BA29="Devis 2",
IF(ISBLANK(AS29),"",IFERROR(VALUE(TRIM(SUBSTITUTE(AS29,CHAR(160),""))),0)*IFERROR(VALUE(TRIM(SUBSTITUTE($AE29,CHAR(160),""))),0)),
$BA29="Devis 3",
IF(ISBLANK(AX29),"",IFERROR(VALUE(TRIM(SUBSTITUTE(AX29,CHAR(160),""))),0)*IFERROR(VALUE(TRIM(SUBSTITUTE($AE29,CHAR(160),""))),0)),
TRUE,0
)
)</f>
        <v/>
      </c>
      <c r="BG29" s="873" t="str" cm="1">
        <f t="array" ref="BG29">IF($AE29="","",
_xlfn.IFS(
$BA29="Devis 1",
IF(ISBLANK(AO29),"",IFERROR(VALUE(TRIM(SUBSTITUTE(AO29,CHAR(160),""))),0)*IFERROR(VALUE(TRIM(SUBSTITUTE($AE29,CHAR(160),""))),0)),
$BA29="Devis 2",
IF(ISBLANK(AT29),"",IFERROR(VALUE(TRIM(SUBSTITUTE(AT29,CHAR(160),""))),0)*IFERROR(VALUE(TRIM(SUBSTITUTE($AE29,CHAR(160),""))),0)),
$BA29="Devis 3",
IF(ISBLANK(AY29),"",IFERROR(VALUE(TRIM(SUBSTITUTE(AY29,CHAR(160),""))),0)*IFERROR(VALUE(TRIM(SUBSTITUTE($AE29,CHAR(160),""))),0)),
TRUE,0
)
)</f>
        <v/>
      </c>
      <c r="BH29" s="874" t="str">
        <f t="shared" si="47"/>
        <v/>
      </c>
      <c r="BI29" s="866"/>
      <c r="BJ29" s="774" t="str" cm="1">
        <f t="array" ref="BJ29">IF(OR(BH29="",BE29="",BF29="",BC29="",BG29="",BD29=""),"",_xlfn.IFS(
ROUND(IFERROR(VALUE(TRIM(SUBSTITUTE(BH29,CHAR(160),""))),0),2)&gt;
ROUND(IFERROR(VALUE(TRIM(SUBSTITUTE(BE29,CHAR(160),""))),0),2),
"KO : Le montant retenu TTC est supérieur au montant raisonnable TTC. Merci de revoir la ligne de dépense ou plafonner son montant.",
ROUND(IFERROR(VALUE(TRIM(SUBSTITUTE(BF29,CHAR(160),""))),0),2)&gt;
ROUND(IFERROR(VALUE(TRIM(SUBSTITUTE(BC29,CHAR(160),""))),0),2),
"Attention : Le montant retenu HT est supérieur au montant HT raisonnable. Merci de revoir la ligne de dépense, plafonner son montant, ou justifier la reventillation HT / TVA.",
ROUND(IFERROR(VALUE(TRIM(SUBSTITUTE(BG29,CHAR(160),""))),0),2)&gt;
ROUND(IFERROR(VALUE(TRIM(SUBSTITUTE(BD29,CHAR(160),""))),0),2),
"Attention : Le montant TVA retenu est supérieur au montant TVA raisonnable. Merci de revoir la ligne de dépense, plafonner son montant, ou justifier la reventillation HT / TVA.",
ROUND(IFERROR(VALUE(TRIM(SUBSTITUTE(BH29,CHAR(160),""))),0),2)&gt;
ROUND(IFERROR(VALUE(TRIM(SUBSTITUTE(MIN(N29,S29,X29),CHAR(160),""))),0),2),
"Attention : Le devis retenu n'est pas le moins cher. Une justification de la part du porteur est nécessaire.",
ROUND(IFERROR(VALUE(TRIM(SUBSTITUTE(BH29,CHAR(160),""))),0),2)=0,
"Attention : montant présenté entièrement écarté",
ROUND(IFERROR(VALUE(TRIM(SUBSTITUTE(BE29,CHAR(160),""))),0),2)=
ROUND(IFERROR(VALUE(TRIM(SUBSTITUTE(BH29,CHAR(160),""))),0),2),
"OK",
ROUND(IFERROR(VALUE(TRIM(SUBSTITUTE(BE29,CHAR(160),""))),0),2)&gt;
ROUND(IFERROR(VALUE(TRIM(SUBSTITUTE(BH29,CHAR(160),""))),0),2),
" OK : Montant instruit inférieur au montant raisonnable.",
TRUE,""
))</f>
        <v/>
      </c>
      <c r="BK29" s="774" t="str" cm="1">
        <f t="array" ref="BK29">IF(OR(BH29="",AB29="",BF29="",Z29="",BG29="",AA29=""),"",_xlfn.IFS(
ROUND(IFERROR(VALUE(TRIM(SUBSTITUTE(BH29,CHAR(160),""))),0),2)&gt;
ROUND(IFERROR(VALUE(TRIM(SUBSTITUTE(AB29,CHAR(160),""))),0),2),
"KO : Le montant retenu TTC est supérieur au montant présenté TTC. Merci de revoir la ligne de dépense ou plafonner son montant.",
ROUND(IFERROR(VALUE(TRIM(SUBSTITUTE(BF29,CHAR(160),""))),0),2)&gt;
ROUND(IFERROR(VALUE(TRIM(SUBSTITUTE(Z29,CHAR(160),""))),0),2),
"Attention : Le montant retenu HT est supérieur au montant HT présenté. Merci de revoir la ligne de dépense, plafonner son montant, ou justifier la reventillation HT / TVA.",
ROUND(IFERROR(VALUE(TRIM(SUBSTITUTE(BG29,CHAR(160),""))),0),2)&gt;
ROUND(IFERROR(VALUE(TRIM(SUBSTITUTE(AA29,CHAR(160),""))),0),2),
"Attention : Le montant TVA retenu est supérieur au montant TVA présenté. Merci de revoir la ligne de dépense, plafonner son montant, ou justifier la reventillation HT / TVA.",
ROUND(IFERROR(VALUE(TRIM(SUBSTITUTE(AB29,CHAR(160),""))),0),2)=0,
"",
ROUND(IFERROR(VALUE(TRIM(SUBSTITUTE(BH29,CHAR(160),""))),0),2)=
ROUND(IFERROR(VALUE(TRIM(SUBSTITUTE(AB29,CHAR(160),""))),0),2),
"OK",
ROUND(IFERROR(VALUE(TRIM(SUBSTITUTE(BH29,CHAR(160),""))),0),2)=0,
"Attention : Montant présenté entièrement rejeté.",
ROUND(IFERROR(VALUE(TRIM(SUBSTITUTE(BH29,CHAR(160),""))),0),2)&lt;
ROUND(IFERROR(VALUE(TRIM(SUBSTITUTE(AB29,CHAR(160),""))),0),2),
"Attention : Montant présenté partiellement rejeté.",
TRUE,""
))</f>
        <v/>
      </c>
      <c r="BL29" s="773" t="str">
        <f t="shared" si="48"/>
        <v/>
      </c>
      <c r="BM29" s="773" t="str">
        <f t="shared" si="49"/>
        <v/>
      </c>
      <c r="BN29" s="773" t="str">
        <f t="shared" si="50"/>
        <v/>
      </c>
    </row>
    <row r="30" spans="1:66" ht="15" customHeight="1">
      <c r="A30" s="193">
        <v>26</v>
      </c>
      <c r="B30" s="7"/>
      <c r="C30" s="9"/>
      <c r="D30" s="30"/>
      <c r="E30" s="36"/>
      <c r="F30" s="34"/>
      <c r="G30" s="35"/>
      <c r="H30" s="685"/>
      <c r="I30" s="786"/>
      <c r="J30" s="792"/>
      <c r="K30" s="758"/>
      <c r="L30" s="761"/>
      <c r="M30" s="762"/>
      <c r="N30" s="808" t="str">
        <f t="shared" si="21"/>
        <v/>
      </c>
      <c r="O30" s="846"/>
      <c r="P30" s="847"/>
      <c r="Q30" s="762"/>
      <c r="R30" s="762"/>
      <c r="S30" s="808" t="str">
        <f t="shared" si="22"/>
        <v/>
      </c>
      <c r="T30" s="850"/>
      <c r="U30" s="847"/>
      <c r="V30" s="762"/>
      <c r="W30" s="762"/>
      <c r="X30" s="830" t="str">
        <f t="shared" si="23"/>
        <v/>
      </c>
      <c r="Y30" s="246"/>
      <c r="Z30" s="284" t="str" cm="1">
        <f t="array" ref="Z30">IF((_xlfn.IFS(TRIM(SUBSTITUTE(Y30,CHAR(160),""))="Devis 1",IFERROR(VALUE(TRIM(SUBSTITUTE(L30,CHAR(160),""))),0),TRIM(SUBSTITUTE(Y30,CHAR(160),""))="Devis 2",IFERROR(VALUE(TRIM(SUBSTITUTE(Q30,CHAR(160),""))),0),TRIM(SUBSTITUTE(Y30,CHAR(160),""))="Devis 3",IFERROR(VALUE(TRIM(SUBSTITUTE(V30,CHAR(160),""))),0),TRUE,0)*IFERROR(VALUE(TRIM(SUBSTITUTE(C30,CHAR(160),""))),0))=0,"",_xlfn.IFS(TRIM(SUBSTITUTE(Y30,CHAR(160),""))="Devis 1",IFERROR(VALUE(TRIM(SUBSTITUTE(L30,CHAR(160),""))),0),TRIM(SUBSTITUTE(Y30,CHAR(160),""))="Devis 2",IFERROR(VALUE(TRIM(SUBSTITUTE(Q30,CHAR(160),""))),0),TRIM(SUBSTITUTE(Y30,CHAR(160),""))="Devis 3",IFERROR(VALUE(TRIM(SUBSTITUTE(V30,CHAR(160),""))),0),TRUE,0)*IFERROR(VALUE(TRIM(SUBSTITUTE(C30,CHAR(160),""))),0))</f>
        <v/>
      </c>
      <c r="AA30" s="275" t="str" cm="1">
        <f t="array" ref="AA30">IF((_xlfn.IFS(TRIM(SUBSTITUTE(Y30,CHAR(160),""))="Devis 1",IFERROR(VALUE(TRIM(SUBSTITUTE(M30,CHAR(160),""))),0),TRIM(SUBSTITUTE(Y30,CHAR(160),""))="Devis 2",IFERROR(VALUE(TRIM(SUBSTITUTE(R30,CHAR(160),""))),0),TRIM(SUBSTITUTE(Y30,CHAR(160),""))="Devis 3",IFERROR(VALUE(TRIM(SUBSTITUTE(W30,CHAR(160),""))),0),TRUE,0)*IFERROR(VALUE(TRIM(SUBSTITUTE(C30,CHAR(160),""))),0))=0,IF(Z30&lt;&gt;"",0,""),_xlfn.IFS(TRIM(SUBSTITUTE(Y30,CHAR(160),""))="Devis 1",IFERROR(VALUE(TRIM(SUBSTITUTE(M30,CHAR(160),""))),0),TRIM(SUBSTITUTE(Y30,CHAR(160),""))="Devis 2",IFERROR(VALUE(TRIM(SUBSTITUTE(R30,CHAR(160),""))),0),TRIM(SUBSTITUTE(Y30,CHAR(160),""))="Devis 3",IFERROR(VALUE(TRIM(SUBSTITUTE(W30,CHAR(160),""))),0),TRUE,0)*IFERROR(VALUE(TRIM(SUBSTITUTE(C30,CHAR(160),""))),0))</f>
        <v/>
      </c>
      <c r="AB30" s="285" t="str">
        <f t="shared" si="24"/>
        <v/>
      </c>
      <c r="AC30" s="209"/>
      <c r="AD30" s="747" t="str">
        <f t="shared" si="0"/>
        <v/>
      </c>
      <c r="AE30" s="747" t="str">
        <f t="shared" si="1"/>
        <v/>
      </c>
      <c r="AF30" s="747" t="str">
        <f t="shared" si="2"/>
        <v/>
      </c>
      <c r="AG30" s="747" t="str">
        <f t="shared" si="3"/>
        <v/>
      </c>
      <c r="AH30" s="747" t="str">
        <f t="shared" si="4"/>
        <v/>
      </c>
      <c r="AI30" s="747" t="str">
        <f t="shared" si="25"/>
        <v/>
      </c>
      <c r="AJ30" s="747" t="str">
        <f t="shared" si="26"/>
        <v/>
      </c>
      <c r="AK30" s="776" t="str">
        <f t="shared" si="27"/>
        <v/>
      </c>
      <c r="AL30" s="802" t="str">
        <f t="shared" si="28"/>
        <v/>
      </c>
      <c r="AM30" s="747" t="str">
        <f t="shared" si="29"/>
        <v/>
      </c>
      <c r="AN30" s="771" t="str">
        <f t="shared" si="30"/>
        <v/>
      </c>
      <c r="AO30" s="771" t="str">
        <f t="shared" si="31"/>
        <v/>
      </c>
      <c r="AP30" s="808" t="str">
        <f t="shared" si="32"/>
        <v/>
      </c>
      <c r="AQ30" s="819" t="str">
        <f t="shared" si="33"/>
        <v/>
      </c>
      <c r="AR30" s="771" t="str">
        <f t="shared" si="34"/>
        <v/>
      </c>
      <c r="AS30" s="771" t="str">
        <f t="shared" si="35"/>
        <v/>
      </c>
      <c r="AT30" s="771" t="str">
        <f t="shared" si="36"/>
        <v/>
      </c>
      <c r="AU30" s="808" t="str">
        <f t="shared" si="37"/>
        <v/>
      </c>
      <c r="AV30" s="842" t="str">
        <f t="shared" si="38"/>
        <v/>
      </c>
      <c r="AW30" s="771" t="str">
        <f t="shared" si="39"/>
        <v/>
      </c>
      <c r="AX30" s="771" t="str">
        <f t="shared" si="40"/>
        <v/>
      </c>
      <c r="AY30" s="771" t="str">
        <f t="shared" si="41"/>
        <v/>
      </c>
      <c r="AZ30" s="831" t="str">
        <f t="shared" si="42"/>
        <v/>
      </c>
      <c r="BA30" s="835" t="str">
        <f t="shared" si="43"/>
        <v/>
      </c>
      <c r="BB30" s="772"/>
      <c r="BC30" s="275" t="str">
        <f t="shared" si="44"/>
        <v/>
      </c>
      <c r="BD30" s="275" t="str">
        <f t="shared" si="45"/>
        <v/>
      </c>
      <c r="BE30" s="886" t="str">
        <f t="shared" si="46"/>
        <v/>
      </c>
      <c r="BF30" s="873" t="str" cm="1">
        <f t="array" ref="BF30">IF($AE30="","",
_xlfn.IFS(
$BA30="Devis 1",
IF(ISBLANK(AN30),"",IFERROR(VALUE(TRIM(SUBSTITUTE(AN30,CHAR(160),""))),0)*IFERROR(VALUE(TRIM(SUBSTITUTE($AE30,CHAR(160),""))),0)),
$BA30="Devis 2",
IF(ISBLANK(AS30),"",IFERROR(VALUE(TRIM(SUBSTITUTE(AS30,CHAR(160),""))),0)*IFERROR(VALUE(TRIM(SUBSTITUTE($AE30,CHAR(160),""))),0)),
$BA30="Devis 3",
IF(ISBLANK(AX30),"",IFERROR(VALUE(TRIM(SUBSTITUTE(AX30,CHAR(160),""))),0)*IFERROR(VALUE(TRIM(SUBSTITUTE($AE30,CHAR(160),""))),0)),
TRUE,0
)
)</f>
        <v/>
      </c>
      <c r="BG30" s="873" t="str" cm="1">
        <f t="array" ref="BG30">IF($AE30="","",
_xlfn.IFS(
$BA30="Devis 1",
IF(ISBLANK(AO30),"",IFERROR(VALUE(TRIM(SUBSTITUTE(AO30,CHAR(160),""))),0)*IFERROR(VALUE(TRIM(SUBSTITUTE($AE30,CHAR(160),""))),0)),
$BA30="Devis 2",
IF(ISBLANK(AT30),"",IFERROR(VALUE(TRIM(SUBSTITUTE(AT30,CHAR(160),""))),0)*IFERROR(VALUE(TRIM(SUBSTITUTE($AE30,CHAR(160),""))),0)),
$BA30="Devis 3",
IF(ISBLANK(AY30),"",IFERROR(VALUE(TRIM(SUBSTITUTE(AY30,CHAR(160),""))),0)*IFERROR(VALUE(TRIM(SUBSTITUTE($AE30,CHAR(160),""))),0)),
TRUE,0
)
)</f>
        <v/>
      </c>
      <c r="BH30" s="874" t="str">
        <f t="shared" si="47"/>
        <v/>
      </c>
      <c r="BI30" s="866"/>
      <c r="BJ30" s="774" t="str" cm="1">
        <f t="array" ref="BJ30">IF(OR(BH30="",BE30="",BF30="",BC30="",BG30="",BD30=""),"",_xlfn.IFS(
ROUND(IFERROR(VALUE(TRIM(SUBSTITUTE(BH30,CHAR(160),""))),0),2)&gt;
ROUND(IFERROR(VALUE(TRIM(SUBSTITUTE(BE30,CHAR(160),""))),0),2),
"KO : Le montant retenu TTC est supérieur au montant raisonnable TTC. Merci de revoir la ligne de dépense ou plafonner son montant.",
ROUND(IFERROR(VALUE(TRIM(SUBSTITUTE(BF30,CHAR(160),""))),0),2)&gt;
ROUND(IFERROR(VALUE(TRIM(SUBSTITUTE(BC30,CHAR(160),""))),0),2),
"Attention : Le montant retenu HT est supérieur au montant HT raisonnable. Merci de revoir la ligne de dépense, plafonner son montant, ou justifier la reventillation HT / TVA.",
ROUND(IFERROR(VALUE(TRIM(SUBSTITUTE(BG30,CHAR(160),""))),0),2)&gt;
ROUND(IFERROR(VALUE(TRIM(SUBSTITUTE(BD30,CHAR(160),""))),0),2),
"Attention : Le montant TVA retenu est supérieur au montant TVA raisonnable. Merci de revoir la ligne de dépense, plafonner son montant, ou justifier la reventillation HT / TVA.",
ROUND(IFERROR(VALUE(TRIM(SUBSTITUTE(BH30,CHAR(160),""))),0),2)&gt;
ROUND(IFERROR(VALUE(TRIM(SUBSTITUTE(MIN(N30,S30,X30),CHAR(160),""))),0),2),
"Attention : Le devis retenu n'est pas le moins cher. Une justification de la part du porteur est nécessaire.",
ROUND(IFERROR(VALUE(TRIM(SUBSTITUTE(BH30,CHAR(160),""))),0),2)=0,
"Attention : montant présenté entièrement écarté",
ROUND(IFERROR(VALUE(TRIM(SUBSTITUTE(BE30,CHAR(160),""))),0),2)=
ROUND(IFERROR(VALUE(TRIM(SUBSTITUTE(BH30,CHAR(160),""))),0),2),
"OK",
ROUND(IFERROR(VALUE(TRIM(SUBSTITUTE(BE30,CHAR(160),""))),0),2)&gt;
ROUND(IFERROR(VALUE(TRIM(SUBSTITUTE(BH30,CHAR(160),""))),0),2),
" OK : Montant instruit inférieur au montant raisonnable.",
TRUE,""
))</f>
        <v/>
      </c>
      <c r="BK30" s="774" t="str" cm="1">
        <f t="array" ref="BK30">IF(OR(BH30="",AB30="",BF30="",Z30="",BG30="",AA30=""),"",_xlfn.IFS(
ROUND(IFERROR(VALUE(TRIM(SUBSTITUTE(BH30,CHAR(160),""))),0),2)&gt;
ROUND(IFERROR(VALUE(TRIM(SUBSTITUTE(AB30,CHAR(160),""))),0),2),
"KO : Le montant retenu TTC est supérieur au montant présenté TTC. Merci de revoir la ligne de dépense ou plafonner son montant.",
ROUND(IFERROR(VALUE(TRIM(SUBSTITUTE(BF30,CHAR(160),""))),0),2)&gt;
ROUND(IFERROR(VALUE(TRIM(SUBSTITUTE(Z30,CHAR(160),""))),0),2),
"Attention : Le montant retenu HT est supérieur au montant HT présenté. Merci de revoir la ligne de dépense, plafonner son montant, ou justifier la reventillation HT / TVA.",
ROUND(IFERROR(VALUE(TRIM(SUBSTITUTE(BG30,CHAR(160),""))),0),2)&gt;
ROUND(IFERROR(VALUE(TRIM(SUBSTITUTE(AA30,CHAR(160),""))),0),2),
"Attention : Le montant TVA retenu est supérieur au montant TVA présenté. Merci de revoir la ligne de dépense, plafonner son montant, ou justifier la reventillation HT / TVA.",
ROUND(IFERROR(VALUE(TRIM(SUBSTITUTE(AB30,CHAR(160),""))),0),2)=0,
"",
ROUND(IFERROR(VALUE(TRIM(SUBSTITUTE(BH30,CHAR(160),""))),0),2)=
ROUND(IFERROR(VALUE(TRIM(SUBSTITUTE(AB30,CHAR(160),""))),0),2),
"OK",
ROUND(IFERROR(VALUE(TRIM(SUBSTITUTE(BH30,CHAR(160),""))),0),2)=0,
"Attention : Montant présenté entièrement rejeté.",
ROUND(IFERROR(VALUE(TRIM(SUBSTITUTE(BH30,CHAR(160),""))),0),2)&lt;
ROUND(IFERROR(VALUE(TRIM(SUBSTITUTE(AB30,CHAR(160),""))),0),2),
"Attention : Montant présenté partiellement rejeté.",
TRUE,""
))</f>
        <v/>
      </c>
      <c r="BL30" s="773" t="str">
        <f t="shared" si="48"/>
        <v/>
      </c>
      <c r="BM30" s="773" t="str">
        <f t="shared" si="49"/>
        <v/>
      </c>
      <c r="BN30" s="773" t="str">
        <f t="shared" si="50"/>
        <v/>
      </c>
    </row>
    <row r="31" spans="1:66" ht="15" customHeight="1">
      <c r="A31" s="193">
        <v>27</v>
      </c>
      <c r="B31" s="7"/>
      <c r="C31" s="9"/>
      <c r="D31" s="30"/>
      <c r="E31" s="36"/>
      <c r="F31" s="34"/>
      <c r="G31" s="35"/>
      <c r="H31" s="685"/>
      <c r="I31" s="786"/>
      <c r="J31" s="792"/>
      <c r="K31" s="758"/>
      <c r="L31" s="761"/>
      <c r="M31" s="762"/>
      <c r="N31" s="808" t="str">
        <f t="shared" si="21"/>
        <v/>
      </c>
      <c r="O31" s="846"/>
      <c r="P31" s="847"/>
      <c r="Q31" s="762"/>
      <c r="R31" s="762"/>
      <c r="S31" s="808" t="str">
        <f t="shared" si="22"/>
        <v/>
      </c>
      <c r="T31" s="850"/>
      <c r="U31" s="847"/>
      <c r="V31" s="762"/>
      <c r="W31" s="762"/>
      <c r="X31" s="830" t="str">
        <f t="shared" si="23"/>
        <v/>
      </c>
      <c r="Y31" s="246"/>
      <c r="Z31" s="284" t="str" cm="1">
        <f t="array" ref="Z31">IF((_xlfn.IFS(TRIM(SUBSTITUTE(Y31,CHAR(160),""))="Devis 1",IFERROR(VALUE(TRIM(SUBSTITUTE(L31,CHAR(160),""))),0),TRIM(SUBSTITUTE(Y31,CHAR(160),""))="Devis 2",IFERROR(VALUE(TRIM(SUBSTITUTE(Q31,CHAR(160),""))),0),TRIM(SUBSTITUTE(Y31,CHAR(160),""))="Devis 3",IFERROR(VALUE(TRIM(SUBSTITUTE(V31,CHAR(160),""))),0),TRUE,0)*IFERROR(VALUE(TRIM(SUBSTITUTE(C31,CHAR(160),""))),0))=0,"",_xlfn.IFS(TRIM(SUBSTITUTE(Y31,CHAR(160),""))="Devis 1",IFERROR(VALUE(TRIM(SUBSTITUTE(L31,CHAR(160),""))),0),TRIM(SUBSTITUTE(Y31,CHAR(160),""))="Devis 2",IFERROR(VALUE(TRIM(SUBSTITUTE(Q31,CHAR(160),""))),0),TRIM(SUBSTITUTE(Y31,CHAR(160),""))="Devis 3",IFERROR(VALUE(TRIM(SUBSTITUTE(V31,CHAR(160),""))),0),TRUE,0)*IFERROR(VALUE(TRIM(SUBSTITUTE(C31,CHAR(160),""))),0))</f>
        <v/>
      </c>
      <c r="AA31" s="275" t="str" cm="1">
        <f t="array" ref="AA31">IF((_xlfn.IFS(TRIM(SUBSTITUTE(Y31,CHAR(160),""))="Devis 1",IFERROR(VALUE(TRIM(SUBSTITUTE(M31,CHAR(160),""))),0),TRIM(SUBSTITUTE(Y31,CHAR(160),""))="Devis 2",IFERROR(VALUE(TRIM(SUBSTITUTE(R31,CHAR(160),""))),0),TRIM(SUBSTITUTE(Y31,CHAR(160),""))="Devis 3",IFERROR(VALUE(TRIM(SUBSTITUTE(W31,CHAR(160),""))),0),TRUE,0)*IFERROR(VALUE(TRIM(SUBSTITUTE(C31,CHAR(160),""))),0))=0,IF(Z31&lt;&gt;"",0,""),_xlfn.IFS(TRIM(SUBSTITUTE(Y31,CHAR(160),""))="Devis 1",IFERROR(VALUE(TRIM(SUBSTITUTE(M31,CHAR(160),""))),0),TRIM(SUBSTITUTE(Y31,CHAR(160),""))="Devis 2",IFERROR(VALUE(TRIM(SUBSTITUTE(R31,CHAR(160),""))),0),TRIM(SUBSTITUTE(Y31,CHAR(160),""))="Devis 3",IFERROR(VALUE(TRIM(SUBSTITUTE(W31,CHAR(160),""))),0),TRUE,0)*IFERROR(VALUE(TRIM(SUBSTITUTE(C31,CHAR(160),""))),0))</f>
        <v/>
      </c>
      <c r="AB31" s="285" t="str">
        <f t="shared" si="24"/>
        <v/>
      </c>
      <c r="AC31" s="209"/>
      <c r="AD31" s="747" t="str">
        <f t="shared" si="0"/>
        <v/>
      </c>
      <c r="AE31" s="747" t="str">
        <f t="shared" si="1"/>
        <v/>
      </c>
      <c r="AF31" s="747" t="str">
        <f t="shared" si="2"/>
        <v/>
      </c>
      <c r="AG31" s="747" t="str">
        <f t="shared" si="3"/>
        <v/>
      </c>
      <c r="AH31" s="747" t="str">
        <f t="shared" si="4"/>
        <v/>
      </c>
      <c r="AI31" s="747" t="str">
        <f t="shared" si="25"/>
        <v/>
      </c>
      <c r="AJ31" s="747" t="str">
        <f t="shared" si="26"/>
        <v/>
      </c>
      <c r="AK31" s="776" t="str">
        <f t="shared" si="27"/>
        <v/>
      </c>
      <c r="AL31" s="802" t="str">
        <f t="shared" si="28"/>
        <v/>
      </c>
      <c r="AM31" s="747" t="str">
        <f t="shared" si="29"/>
        <v/>
      </c>
      <c r="AN31" s="771" t="str">
        <f t="shared" si="30"/>
        <v/>
      </c>
      <c r="AO31" s="771" t="str">
        <f t="shared" si="31"/>
        <v/>
      </c>
      <c r="AP31" s="808" t="str">
        <f t="shared" si="32"/>
        <v/>
      </c>
      <c r="AQ31" s="819" t="str">
        <f t="shared" si="33"/>
        <v/>
      </c>
      <c r="AR31" s="771" t="str">
        <f t="shared" si="34"/>
        <v/>
      </c>
      <c r="AS31" s="771" t="str">
        <f t="shared" si="35"/>
        <v/>
      </c>
      <c r="AT31" s="771" t="str">
        <f t="shared" si="36"/>
        <v/>
      </c>
      <c r="AU31" s="808" t="str">
        <f t="shared" si="37"/>
        <v/>
      </c>
      <c r="AV31" s="842" t="str">
        <f t="shared" si="38"/>
        <v/>
      </c>
      <c r="AW31" s="771" t="str">
        <f t="shared" si="39"/>
        <v/>
      </c>
      <c r="AX31" s="771" t="str">
        <f t="shared" si="40"/>
        <v/>
      </c>
      <c r="AY31" s="771" t="str">
        <f t="shared" si="41"/>
        <v/>
      </c>
      <c r="AZ31" s="831" t="str">
        <f t="shared" si="42"/>
        <v/>
      </c>
      <c r="BA31" s="835" t="str">
        <f t="shared" si="43"/>
        <v/>
      </c>
      <c r="BB31" s="772"/>
      <c r="BC31" s="275" t="str">
        <f t="shared" si="44"/>
        <v/>
      </c>
      <c r="BD31" s="275" t="str">
        <f t="shared" si="45"/>
        <v/>
      </c>
      <c r="BE31" s="886" t="str">
        <f t="shared" si="46"/>
        <v/>
      </c>
      <c r="BF31" s="873" t="str" cm="1">
        <f t="array" ref="BF31">IF($AE31="","",
_xlfn.IFS(
$BA31="Devis 1",
IF(ISBLANK(AN31),"",IFERROR(VALUE(TRIM(SUBSTITUTE(AN31,CHAR(160),""))),0)*IFERROR(VALUE(TRIM(SUBSTITUTE($AE31,CHAR(160),""))),0)),
$BA31="Devis 2",
IF(ISBLANK(AS31),"",IFERROR(VALUE(TRIM(SUBSTITUTE(AS31,CHAR(160),""))),0)*IFERROR(VALUE(TRIM(SUBSTITUTE($AE31,CHAR(160),""))),0)),
$BA31="Devis 3",
IF(ISBLANK(AX31),"",IFERROR(VALUE(TRIM(SUBSTITUTE(AX31,CHAR(160),""))),0)*IFERROR(VALUE(TRIM(SUBSTITUTE($AE31,CHAR(160),""))),0)),
TRUE,0
)
)</f>
        <v/>
      </c>
      <c r="BG31" s="873" t="str" cm="1">
        <f t="array" ref="BG31">IF($AE31="","",
_xlfn.IFS(
$BA31="Devis 1",
IF(ISBLANK(AO31),"",IFERROR(VALUE(TRIM(SUBSTITUTE(AO31,CHAR(160),""))),0)*IFERROR(VALUE(TRIM(SUBSTITUTE($AE31,CHAR(160),""))),0)),
$BA31="Devis 2",
IF(ISBLANK(AT31),"",IFERROR(VALUE(TRIM(SUBSTITUTE(AT31,CHAR(160),""))),0)*IFERROR(VALUE(TRIM(SUBSTITUTE($AE31,CHAR(160),""))),0)),
$BA31="Devis 3",
IF(ISBLANK(AY31),"",IFERROR(VALUE(TRIM(SUBSTITUTE(AY31,CHAR(160),""))),0)*IFERROR(VALUE(TRIM(SUBSTITUTE($AE31,CHAR(160),""))),0)),
TRUE,0
)
)</f>
        <v/>
      </c>
      <c r="BH31" s="874" t="str">
        <f t="shared" si="47"/>
        <v/>
      </c>
      <c r="BI31" s="866"/>
      <c r="BJ31" s="774" t="str" cm="1">
        <f t="array" ref="BJ31">IF(OR(BH31="",BE31="",BF31="",BC31="",BG31="",BD31=""),"",_xlfn.IFS(
ROUND(IFERROR(VALUE(TRIM(SUBSTITUTE(BH31,CHAR(160),""))),0),2)&gt;
ROUND(IFERROR(VALUE(TRIM(SUBSTITUTE(BE31,CHAR(160),""))),0),2),
"KO : Le montant retenu TTC est supérieur au montant raisonnable TTC. Merci de revoir la ligne de dépense ou plafonner son montant.",
ROUND(IFERROR(VALUE(TRIM(SUBSTITUTE(BF31,CHAR(160),""))),0),2)&gt;
ROUND(IFERROR(VALUE(TRIM(SUBSTITUTE(BC31,CHAR(160),""))),0),2),
"Attention : Le montant retenu HT est supérieur au montant HT raisonnable. Merci de revoir la ligne de dépense, plafonner son montant, ou justifier la reventillation HT / TVA.",
ROUND(IFERROR(VALUE(TRIM(SUBSTITUTE(BG31,CHAR(160),""))),0),2)&gt;
ROUND(IFERROR(VALUE(TRIM(SUBSTITUTE(BD31,CHAR(160),""))),0),2),
"Attention : Le montant TVA retenu est supérieur au montant TVA raisonnable. Merci de revoir la ligne de dépense, plafonner son montant, ou justifier la reventillation HT / TVA.",
ROUND(IFERROR(VALUE(TRIM(SUBSTITUTE(BH31,CHAR(160),""))),0),2)&gt;
ROUND(IFERROR(VALUE(TRIM(SUBSTITUTE(MIN(N31,S31,X31),CHAR(160),""))),0),2),
"Attention : Le devis retenu n'est pas le moins cher. Une justification de la part du porteur est nécessaire.",
ROUND(IFERROR(VALUE(TRIM(SUBSTITUTE(BH31,CHAR(160),""))),0),2)=0,
"Attention : montant présenté entièrement écarté",
ROUND(IFERROR(VALUE(TRIM(SUBSTITUTE(BE31,CHAR(160),""))),0),2)=
ROUND(IFERROR(VALUE(TRIM(SUBSTITUTE(BH31,CHAR(160),""))),0),2),
"OK",
ROUND(IFERROR(VALUE(TRIM(SUBSTITUTE(BE31,CHAR(160),""))),0),2)&gt;
ROUND(IFERROR(VALUE(TRIM(SUBSTITUTE(BH31,CHAR(160),""))),0),2),
" OK : Montant instruit inférieur au montant raisonnable.",
TRUE,""
))</f>
        <v/>
      </c>
      <c r="BK31" s="774" t="str" cm="1">
        <f t="array" ref="BK31">IF(OR(BH31="",AB31="",BF31="",Z31="",BG31="",AA31=""),"",_xlfn.IFS(
ROUND(IFERROR(VALUE(TRIM(SUBSTITUTE(BH31,CHAR(160),""))),0),2)&gt;
ROUND(IFERROR(VALUE(TRIM(SUBSTITUTE(AB31,CHAR(160),""))),0),2),
"KO : Le montant retenu TTC est supérieur au montant présenté TTC. Merci de revoir la ligne de dépense ou plafonner son montant.",
ROUND(IFERROR(VALUE(TRIM(SUBSTITUTE(BF31,CHAR(160),""))),0),2)&gt;
ROUND(IFERROR(VALUE(TRIM(SUBSTITUTE(Z31,CHAR(160),""))),0),2),
"Attention : Le montant retenu HT est supérieur au montant HT présenté. Merci de revoir la ligne de dépense, plafonner son montant, ou justifier la reventillation HT / TVA.",
ROUND(IFERROR(VALUE(TRIM(SUBSTITUTE(BG31,CHAR(160),""))),0),2)&gt;
ROUND(IFERROR(VALUE(TRIM(SUBSTITUTE(AA31,CHAR(160),""))),0),2),
"Attention : Le montant TVA retenu est supérieur au montant TVA présenté. Merci de revoir la ligne de dépense, plafonner son montant, ou justifier la reventillation HT / TVA.",
ROUND(IFERROR(VALUE(TRIM(SUBSTITUTE(AB31,CHAR(160),""))),0),2)=0,
"",
ROUND(IFERROR(VALUE(TRIM(SUBSTITUTE(BH31,CHAR(160),""))),0),2)=
ROUND(IFERROR(VALUE(TRIM(SUBSTITUTE(AB31,CHAR(160),""))),0),2),
"OK",
ROUND(IFERROR(VALUE(TRIM(SUBSTITUTE(BH31,CHAR(160),""))),0),2)=0,
"Attention : Montant présenté entièrement rejeté.",
ROUND(IFERROR(VALUE(TRIM(SUBSTITUTE(BH31,CHAR(160),""))),0),2)&lt;
ROUND(IFERROR(VALUE(TRIM(SUBSTITUTE(AB31,CHAR(160),""))),0),2),
"Attention : Montant présenté partiellement rejeté.",
TRUE,""
))</f>
        <v/>
      </c>
      <c r="BL31" s="773" t="str">
        <f t="shared" si="48"/>
        <v/>
      </c>
      <c r="BM31" s="773" t="str">
        <f t="shared" si="49"/>
        <v/>
      </c>
      <c r="BN31" s="773" t="str">
        <f t="shared" si="50"/>
        <v/>
      </c>
    </row>
    <row r="32" spans="1:66" ht="15" customHeight="1">
      <c r="A32" s="193">
        <v>28</v>
      </c>
      <c r="B32" s="7"/>
      <c r="C32" s="9"/>
      <c r="D32" s="30"/>
      <c r="E32" s="36"/>
      <c r="F32" s="34"/>
      <c r="G32" s="35"/>
      <c r="H32" s="685"/>
      <c r="I32" s="786"/>
      <c r="J32" s="792"/>
      <c r="K32" s="758"/>
      <c r="L32" s="761"/>
      <c r="M32" s="762"/>
      <c r="N32" s="808" t="str">
        <f t="shared" si="21"/>
        <v/>
      </c>
      <c r="O32" s="846"/>
      <c r="P32" s="847"/>
      <c r="Q32" s="762"/>
      <c r="R32" s="762"/>
      <c r="S32" s="808" t="str">
        <f t="shared" si="22"/>
        <v/>
      </c>
      <c r="T32" s="850"/>
      <c r="U32" s="847"/>
      <c r="V32" s="762"/>
      <c r="W32" s="762"/>
      <c r="X32" s="830" t="str">
        <f>IF(OR(V32="", W32=""), "", IFERROR(VALUE(TRIM(SUBSTITUTE(V32,CHAR(160),""))),0) + IFERROR(VALUE(TRIM(SUBSTITUTE(W32,CHAR(160),""))),0))</f>
        <v/>
      </c>
      <c r="Y32" s="246"/>
      <c r="Z32" s="284" t="str" cm="1">
        <f t="array" ref="Z32">IF((_xlfn.IFS(TRIM(SUBSTITUTE(Y32,CHAR(160),""))="Devis 1",IFERROR(VALUE(TRIM(SUBSTITUTE(L32,CHAR(160),""))),0),TRIM(SUBSTITUTE(Y32,CHAR(160),""))="Devis 2",IFERROR(VALUE(TRIM(SUBSTITUTE(Q32,CHAR(160),""))),0),TRIM(SUBSTITUTE(Y32,CHAR(160),""))="Devis 3",IFERROR(VALUE(TRIM(SUBSTITUTE(V32,CHAR(160),""))),0),TRUE,0)*IFERROR(VALUE(TRIM(SUBSTITUTE(C32,CHAR(160),""))),0))=0,"",_xlfn.IFS(TRIM(SUBSTITUTE(Y32,CHAR(160),""))="Devis 1",IFERROR(VALUE(TRIM(SUBSTITUTE(L32,CHAR(160),""))),0),TRIM(SUBSTITUTE(Y32,CHAR(160),""))="Devis 2",IFERROR(VALUE(TRIM(SUBSTITUTE(Q32,CHAR(160),""))),0),TRIM(SUBSTITUTE(Y32,CHAR(160),""))="Devis 3",IFERROR(VALUE(TRIM(SUBSTITUTE(V32,CHAR(160),""))),0),TRUE,0)*IFERROR(VALUE(TRIM(SUBSTITUTE(C32,CHAR(160),""))),0))</f>
        <v/>
      </c>
      <c r="AA32" s="275" t="str" cm="1">
        <f t="array" ref="AA32">IF((_xlfn.IFS(TRIM(SUBSTITUTE(Y32,CHAR(160),""))="Devis 1",IFERROR(VALUE(TRIM(SUBSTITUTE(M32,CHAR(160),""))),0),TRIM(SUBSTITUTE(Y32,CHAR(160),""))="Devis 2",IFERROR(VALUE(TRIM(SUBSTITUTE(R32,CHAR(160),""))),0),TRIM(SUBSTITUTE(Y32,CHAR(160),""))="Devis 3",IFERROR(VALUE(TRIM(SUBSTITUTE(W32,CHAR(160),""))),0),TRUE,0)*IFERROR(VALUE(TRIM(SUBSTITUTE(C32,CHAR(160),""))),0))=0,IF(Z32&lt;&gt;"",0,""),_xlfn.IFS(TRIM(SUBSTITUTE(Y32,CHAR(160),""))="Devis 1",IFERROR(VALUE(TRIM(SUBSTITUTE(M32,CHAR(160),""))),0),TRIM(SUBSTITUTE(Y32,CHAR(160),""))="Devis 2",IFERROR(VALUE(TRIM(SUBSTITUTE(R32,CHAR(160),""))),0),TRIM(SUBSTITUTE(Y32,CHAR(160),""))="Devis 3",IFERROR(VALUE(TRIM(SUBSTITUTE(W32,CHAR(160),""))),0),TRUE,0)*IFERROR(VALUE(TRIM(SUBSTITUTE(C32,CHAR(160),""))),0))</f>
        <v/>
      </c>
      <c r="AB32" s="285" t="str">
        <f t="shared" si="24"/>
        <v/>
      </c>
      <c r="AC32" s="209"/>
      <c r="AD32" s="747" t="str">
        <f t="shared" si="0"/>
        <v/>
      </c>
      <c r="AE32" s="747" t="str">
        <f t="shared" si="1"/>
        <v/>
      </c>
      <c r="AF32" s="747" t="str">
        <f t="shared" si="2"/>
        <v/>
      </c>
      <c r="AG32" s="747" t="str">
        <f t="shared" si="3"/>
        <v/>
      </c>
      <c r="AH32" s="747" t="str">
        <f t="shared" si="4"/>
        <v/>
      </c>
      <c r="AI32" s="747" t="str">
        <f t="shared" si="25"/>
        <v/>
      </c>
      <c r="AJ32" s="747" t="str">
        <f t="shared" si="26"/>
        <v/>
      </c>
      <c r="AK32" s="776" t="str">
        <f t="shared" si="27"/>
        <v/>
      </c>
      <c r="AL32" s="802" t="str">
        <f t="shared" si="28"/>
        <v/>
      </c>
      <c r="AM32" s="747" t="str">
        <f t="shared" si="29"/>
        <v/>
      </c>
      <c r="AN32" s="771" t="str">
        <f t="shared" si="30"/>
        <v/>
      </c>
      <c r="AO32" s="771" t="str">
        <f t="shared" si="31"/>
        <v/>
      </c>
      <c r="AP32" s="808" t="str">
        <f t="shared" si="32"/>
        <v/>
      </c>
      <c r="AQ32" s="819" t="str">
        <f t="shared" si="33"/>
        <v/>
      </c>
      <c r="AR32" s="771" t="str">
        <f t="shared" si="34"/>
        <v/>
      </c>
      <c r="AS32" s="771" t="str">
        <f t="shared" si="35"/>
        <v/>
      </c>
      <c r="AT32" s="771" t="str">
        <f t="shared" si="36"/>
        <v/>
      </c>
      <c r="AU32" s="808" t="str">
        <f t="shared" si="37"/>
        <v/>
      </c>
      <c r="AV32" s="842" t="str">
        <f t="shared" si="38"/>
        <v/>
      </c>
      <c r="AW32" s="771" t="str">
        <f t="shared" si="39"/>
        <v/>
      </c>
      <c r="AX32" s="771" t="str">
        <f t="shared" si="40"/>
        <v/>
      </c>
      <c r="AY32" s="771" t="str">
        <f t="shared" si="41"/>
        <v/>
      </c>
      <c r="AZ32" s="831" t="str">
        <f t="shared" si="42"/>
        <v/>
      </c>
      <c r="BA32" s="835" t="str">
        <f t="shared" si="43"/>
        <v/>
      </c>
      <c r="BB32" s="772"/>
      <c r="BC32" s="275" t="str">
        <f t="shared" si="44"/>
        <v/>
      </c>
      <c r="BD32" s="275" t="str">
        <f t="shared" si="45"/>
        <v/>
      </c>
      <c r="BE32" s="886" t="str">
        <f t="shared" si="46"/>
        <v/>
      </c>
      <c r="BF32" s="873" t="str" cm="1">
        <f t="array" ref="BF32">IF($AE32="","",
_xlfn.IFS(
$BA32="Devis 1",
IF(ISBLANK(AN32),"",IFERROR(VALUE(TRIM(SUBSTITUTE(AN32,CHAR(160),""))),0)*IFERROR(VALUE(TRIM(SUBSTITUTE($AE32,CHAR(160),""))),0)),
$BA32="Devis 2",
IF(ISBLANK(AS32),"",IFERROR(VALUE(TRIM(SUBSTITUTE(AS32,CHAR(160),""))),0)*IFERROR(VALUE(TRIM(SUBSTITUTE($AE32,CHAR(160),""))),0)),
$BA32="Devis 3",
IF(ISBLANK(AX32),"",IFERROR(VALUE(TRIM(SUBSTITUTE(AX32,CHAR(160),""))),0)*IFERROR(VALUE(TRIM(SUBSTITUTE($AE32,CHAR(160),""))),0)),
TRUE,0
)
)</f>
        <v/>
      </c>
      <c r="BG32" s="873" t="str" cm="1">
        <f t="array" ref="BG32">IF($AE32="","",
_xlfn.IFS(
$BA32="Devis 1",
IF(ISBLANK(AO32),"",IFERROR(VALUE(TRIM(SUBSTITUTE(AO32,CHAR(160),""))),0)*IFERROR(VALUE(TRIM(SUBSTITUTE($AE32,CHAR(160),""))),0)),
$BA32="Devis 2",
IF(ISBLANK(AT32),"",IFERROR(VALUE(TRIM(SUBSTITUTE(AT32,CHAR(160),""))),0)*IFERROR(VALUE(TRIM(SUBSTITUTE($AE32,CHAR(160),""))),0)),
$BA32="Devis 3",
IF(ISBLANK(AY32),"",IFERROR(VALUE(TRIM(SUBSTITUTE(AY32,CHAR(160),""))),0)*IFERROR(VALUE(TRIM(SUBSTITUTE($AE32,CHAR(160),""))),0)),
TRUE,0
)
)</f>
        <v/>
      </c>
      <c r="BH32" s="874" t="str">
        <f t="shared" si="47"/>
        <v/>
      </c>
      <c r="BI32" s="866"/>
      <c r="BJ32" s="774" t="str" cm="1">
        <f t="array" ref="BJ32">IF(OR(BH32="",BE32="",BF32="",BC32="",BG32="",BD32=""),"",_xlfn.IFS(
ROUND(IFERROR(VALUE(TRIM(SUBSTITUTE(BH32,CHAR(160),""))),0),2)&gt;
ROUND(IFERROR(VALUE(TRIM(SUBSTITUTE(BE32,CHAR(160),""))),0),2),
"KO : Le montant retenu TTC est supérieur au montant raisonnable TTC. Merci de revoir la ligne de dépense ou plafonner son montant.",
ROUND(IFERROR(VALUE(TRIM(SUBSTITUTE(BF32,CHAR(160),""))),0),2)&gt;
ROUND(IFERROR(VALUE(TRIM(SUBSTITUTE(BC32,CHAR(160),""))),0),2),
"Attention : Le montant retenu HT est supérieur au montant HT raisonnable. Merci de revoir la ligne de dépense, plafonner son montant, ou justifier la reventillation HT / TVA.",
ROUND(IFERROR(VALUE(TRIM(SUBSTITUTE(BG32,CHAR(160),""))),0),2)&gt;
ROUND(IFERROR(VALUE(TRIM(SUBSTITUTE(BD32,CHAR(160),""))),0),2),
"Attention : Le montant TVA retenu est supérieur au montant TVA raisonnable. Merci de revoir la ligne de dépense, plafonner son montant, ou justifier la reventillation HT / TVA.",
ROUND(IFERROR(VALUE(TRIM(SUBSTITUTE(BH32,CHAR(160),""))),0),2)&gt;
ROUND(IFERROR(VALUE(TRIM(SUBSTITUTE(MIN(N32,S32,X32),CHAR(160),""))),0),2),
"Attention : Le devis retenu n'est pas le moins cher. Une justification de la part du porteur est nécessaire.",
ROUND(IFERROR(VALUE(TRIM(SUBSTITUTE(BH32,CHAR(160),""))),0),2)=0,
"Attention : montant présenté entièrement écarté",
ROUND(IFERROR(VALUE(TRIM(SUBSTITUTE(BE32,CHAR(160),""))),0),2)=
ROUND(IFERROR(VALUE(TRIM(SUBSTITUTE(BH32,CHAR(160),""))),0),2),
"OK",
ROUND(IFERROR(VALUE(TRIM(SUBSTITUTE(BE32,CHAR(160),""))),0),2)&gt;
ROUND(IFERROR(VALUE(TRIM(SUBSTITUTE(BH32,CHAR(160),""))),0),2),
" OK : Montant instruit inférieur au montant raisonnable.",
TRUE,""
))</f>
        <v/>
      </c>
      <c r="BK32" s="774" t="str" cm="1">
        <f t="array" ref="BK32">IF(OR(BH32="",AB32="",BF32="",Z32="",BG32="",AA32=""),"",_xlfn.IFS(
ROUND(IFERROR(VALUE(TRIM(SUBSTITUTE(BH32,CHAR(160),""))),0),2)&gt;
ROUND(IFERROR(VALUE(TRIM(SUBSTITUTE(AB32,CHAR(160),""))),0),2),
"KO : Le montant retenu TTC est supérieur au montant présenté TTC. Merci de revoir la ligne de dépense ou plafonner son montant.",
ROUND(IFERROR(VALUE(TRIM(SUBSTITUTE(BF32,CHAR(160),""))),0),2)&gt;
ROUND(IFERROR(VALUE(TRIM(SUBSTITUTE(Z32,CHAR(160),""))),0),2),
"Attention : Le montant retenu HT est supérieur au montant HT présenté. Merci de revoir la ligne de dépense, plafonner son montant, ou justifier la reventillation HT / TVA.",
ROUND(IFERROR(VALUE(TRIM(SUBSTITUTE(BG32,CHAR(160),""))),0),2)&gt;
ROUND(IFERROR(VALUE(TRIM(SUBSTITUTE(AA32,CHAR(160),""))),0),2),
"Attention : Le montant TVA retenu est supérieur au montant TVA présenté. Merci de revoir la ligne de dépense, plafonner son montant, ou justifier la reventillation HT / TVA.",
ROUND(IFERROR(VALUE(TRIM(SUBSTITUTE(AB32,CHAR(160),""))),0),2)=0,
"",
ROUND(IFERROR(VALUE(TRIM(SUBSTITUTE(BH32,CHAR(160),""))),0),2)=
ROUND(IFERROR(VALUE(TRIM(SUBSTITUTE(AB32,CHAR(160),""))),0),2),
"OK",
ROUND(IFERROR(VALUE(TRIM(SUBSTITUTE(BH32,CHAR(160),""))),0),2)=0,
"Attention : Montant présenté entièrement rejeté.",
ROUND(IFERROR(VALUE(TRIM(SUBSTITUTE(BH32,CHAR(160),""))),0),2)&lt;
ROUND(IFERROR(VALUE(TRIM(SUBSTITUTE(AB32,CHAR(160),""))),0),2),
"Attention : Montant présenté partiellement rejeté.",
TRUE,""
))</f>
        <v/>
      </c>
      <c r="BL32" s="773" t="str">
        <f t="shared" si="48"/>
        <v/>
      </c>
      <c r="BM32" s="773" t="str">
        <f t="shared" si="49"/>
        <v/>
      </c>
      <c r="BN32" s="773" t="str">
        <f t="shared" si="50"/>
        <v/>
      </c>
    </row>
    <row r="33" spans="1:66" ht="15" customHeight="1">
      <c r="A33" s="193">
        <v>29</v>
      </c>
      <c r="B33" s="7"/>
      <c r="C33" s="9"/>
      <c r="D33" s="30"/>
      <c r="E33" s="36"/>
      <c r="F33" s="34"/>
      <c r="G33" s="35"/>
      <c r="H33" s="685"/>
      <c r="I33" s="786"/>
      <c r="J33" s="792"/>
      <c r="K33" s="758"/>
      <c r="L33" s="761"/>
      <c r="M33" s="762"/>
      <c r="N33" s="808" t="str">
        <f t="shared" si="21"/>
        <v/>
      </c>
      <c r="O33" s="846"/>
      <c r="P33" s="847"/>
      <c r="Q33" s="762"/>
      <c r="R33" s="762"/>
      <c r="S33" s="808" t="str">
        <f t="shared" si="22"/>
        <v/>
      </c>
      <c r="T33" s="850"/>
      <c r="U33" s="847"/>
      <c r="V33" s="762"/>
      <c r="W33" s="762"/>
      <c r="X33" s="830" t="str">
        <f t="shared" si="23"/>
        <v/>
      </c>
      <c r="Y33" s="246"/>
      <c r="Z33" s="284" t="str" cm="1">
        <f t="array" ref="Z33">IF((_xlfn.IFS(TRIM(SUBSTITUTE(Y33,CHAR(160),""))="Devis 1",IFERROR(VALUE(TRIM(SUBSTITUTE(L33,CHAR(160),""))),0),TRIM(SUBSTITUTE(Y33,CHAR(160),""))="Devis 2",IFERROR(VALUE(TRIM(SUBSTITUTE(Q33,CHAR(160),""))),0),TRIM(SUBSTITUTE(Y33,CHAR(160),""))="Devis 3",IFERROR(VALUE(TRIM(SUBSTITUTE(V33,CHAR(160),""))),0),TRUE,0)*IFERROR(VALUE(TRIM(SUBSTITUTE(C33,CHAR(160),""))),0))=0,"",_xlfn.IFS(TRIM(SUBSTITUTE(Y33,CHAR(160),""))="Devis 1",IFERROR(VALUE(TRIM(SUBSTITUTE(L33,CHAR(160),""))),0),TRIM(SUBSTITUTE(Y33,CHAR(160),""))="Devis 2",IFERROR(VALUE(TRIM(SUBSTITUTE(Q33,CHAR(160),""))),0),TRIM(SUBSTITUTE(Y33,CHAR(160),""))="Devis 3",IFERROR(VALUE(TRIM(SUBSTITUTE(V33,CHAR(160),""))),0),TRUE,0)*IFERROR(VALUE(TRIM(SUBSTITUTE(C33,CHAR(160),""))),0))</f>
        <v/>
      </c>
      <c r="AA33" s="275" t="str" cm="1">
        <f t="array" ref="AA33">IF((_xlfn.IFS(TRIM(SUBSTITUTE(Y33,CHAR(160),""))="Devis 1",IFERROR(VALUE(TRIM(SUBSTITUTE(M33,CHAR(160),""))),0),TRIM(SUBSTITUTE(Y33,CHAR(160),""))="Devis 2",IFERROR(VALUE(TRIM(SUBSTITUTE(R33,CHAR(160),""))),0),TRIM(SUBSTITUTE(Y33,CHAR(160),""))="Devis 3",IFERROR(VALUE(TRIM(SUBSTITUTE(W33,CHAR(160),""))),0),TRUE,0)*IFERROR(VALUE(TRIM(SUBSTITUTE(C33,CHAR(160),""))),0))=0,IF(Z33&lt;&gt;"",0,""),_xlfn.IFS(TRIM(SUBSTITUTE(Y33,CHAR(160),""))="Devis 1",IFERROR(VALUE(TRIM(SUBSTITUTE(M33,CHAR(160),""))),0),TRIM(SUBSTITUTE(Y33,CHAR(160),""))="Devis 2",IFERROR(VALUE(TRIM(SUBSTITUTE(R33,CHAR(160),""))),0),TRIM(SUBSTITUTE(Y33,CHAR(160),""))="Devis 3",IFERROR(VALUE(TRIM(SUBSTITUTE(W33,CHAR(160),""))),0),TRUE,0)*IFERROR(VALUE(TRIM(SUBSTITUTE(C33,CHAR(160),""))),0))</f>
        <v/>
      </c>
      <c r="AB33" s="285" t="str">
        <f t="shared" si="24"/>
        <v/>
      </c>
      <c r="AC33" s="209"/>
      <c r="AD33" s="747" t="str">
        <f t="shared" si="0"/>
        <v/>
      </c>
      <c r="AE33" s="747" t="str">
        <f t="shared" si="1"/>
        <v/>
      </c>
      <c r="AF33" s="747" t="str">
        <f t="shared" si="2"/>
        <v/>
      </c>
      <c r="AG33" s="747" t="str">
        <f t="shared" si="3"/>
        <v/>
      </c>
      <c r="AH33" s="747" t="str">
        <f t="shared" si="4"/>
        <v/>
      </c>
      <c r="AI33" s="747" t="str">
        <f t="shared" si="25"/>
        <v/>
      </c>
      <c r="AJ33" s="747" t="str">
        <f t="shared" si="26"/>
        <v/>
      </c>
      <c r="AK33" s="776" t="str">
        <f t="shared" si="27"/>
        <v/>
      </c>
      <c r="AL33" s="802" t="str">
        <f t="shared" si="28"/>
        <v/>
      </c>
      <c r="AM33" s="747" t="str">
        <f t="shared" si="29"/>
        <v/>
      </c>
      <c r="AN33" s="771" t="str">
        <f t="shared" si="30"/>
        <v/>
      </c>
      <c r="AO33" s="771" t="str">
        <f t="shared" si="31"/>
        <v/>
      </c>
      <c r="AP33" s="808" t="str">
        <f t="shared" si="32"/>
        <v/>
      </c>
      <c r="AQ33" s="819" t="str">
        <f t="shared" si="33"/>
        <v/>
      </c>
      <c r="AR33" s="771" t="str">
        <f t="shared" si="34"/>
        <v/>
      </c>
      <c r="AS33" s="771" t="str">
        <f t="shared" si="35"/>
        <v/>
      </c>
      <c r="AT33" s="771" t="str">
        <f t="shared" si="36"/>
        <v/>
      </c>
      <c r="AU33" s="808" t="str">
        <f t="shared" si="37"/>
        <v/>
      </c>
      <c r="AV33" s="842" t="str">
        <f t="shared" si="38"/>
        <v/>
      </c>
      <c r="AW33" s="771" t="str">
        <f t="shared" si="39"/>
        <v/>
      </c>
      <c r="AX33" s="771" t="str">
        <f t="shared" si="40"/>
        <v/>
      </c>
      <c r="AY33" s="771" t="str">
        <f t="shared" si="41"/>
        <v/>
      </c>
      <c r="AZ33" s="831" t="str">
        <f t="shared" si="42"/>
        <v/>
      </c>
      <c r="BA33" s="835" t="str">
        <f t="shared" si="43"/>
        <v/>
      </c>
      <c r="BB33" s="772"/>
      <c r="BC33" s="275" t="str">
        <f t="shared" si="44"/>
        <v/>
      </c>
      <c r="BD33" s="275" t="str">
        <f t="shared" si="45"/>
        <v/>
      </c>
      <c r="BE33" s="886" t="str">
        <f t="shared" si="46"/>
        <v/>
      </c>
      <c r="BF33" s="873" t="str" cm="1">
        <f t="array" ref="BF33">IF($AE33="","",
_xlfn.IFS(
$BA33="Devis 1",
IF(ISBLANK(AN33),"",IFERROR(VALUE(TRIM(SUBSTITUTE(AN33,CHAR(160),""))),0)*IFERROR(VALUE(TRIM(SUBSTITUTE($AE33,CHAR(160),""))),0)),
$BA33="Devis 2",
IF(ISBLANK(AS33),"",IFERROR(VALUE(TRIM(SUBSTITUTE(AS33,CHAR(160),""))),0)*IFERROR(VALUE(TRIM(SUBSTITUTE($AE33,CHAR(160),""))),0)),
$BA33="Devis 3",
IF(ISBLANK(AX33),"",IFERROR(VALUE(TRIM(SUBSTITUTE(AX33,CHAR(160),""))),0)*IFERROR(VALUE(TRIM(SUBSTITUTE($AE33,CHAR(160),""))),0)),
TRUE,0
)
)</f>
        <v/>
      </c>
      <c r="BG33" s="873" t="str" cm="1">
        <f t="array" ref="BG33">IF($AE33="","",
_xlfn.IFS(
$BA33="Devis 1",
IF(ISBLANK(AO33),"",IFERROR(VALUE(TRIM(SUBSTITUTE(AO33,CHAR(160),""))),0)*IFERROR(VALUE(TRIM(SUBSTITUTE($AE33,CHAR(160),""))),0)),
$BA33="Devis 2",
IF(ISBLANK(AT33),"",IFERROR(VALUE(TRIM(SUBSTITUTE(AT33,CHAR(160),""))),0)*IFERROR(VALUE(TRIM(SUBSTITUTE($AE33,CHAR(160),""))),0)),
$BA33="Devis 3",
IF(ISBLANK(AY33),"",IFERROR(VALUE(TRIM(SUBSTITUTE(AY33,CHAR(160),""))),0)*IFERROR(VALUE(TRIM(SUBSTITUTE($AE33,CHAR(160),""))),0)),
TRUE,0
)
)</f>
        <v/>
      </c>
      <c r="BH33" s="874" t="str">
        <f t="shared" si="47"/>
        <v/>
      </c>
      <c r="BI33" s="866"/>
      <c r="BJ33" s="774" t="str" cm="1">
        <f t="array" ref="BJ33">IF(OR(BH33="",BE33="",BF33="",BC33="",BG33="",BD33=""),"",_xlfn.IFS(
ROUND(IFERROR(VALUE(TRIM(SUBSTITUTE(BH33,CHAR(160),""))),0),2)&gt;
ROUND(IFERROR(VALUE(TRIM(SUBSTITUTE(BE33,CHAR(160),""))),0),2),
"KO : Le montant retenu TTC est supérieur au montant raisonnable TTC. Merci de revoir la ligne de dépense ou plafonner son montant.",
ROUND(IFERROR(VALUE(TRIM(SUBSTITUTE(BF33,CHAR(160),""))),0),2)&gt;
ROUND(IFERROR(VALUE(TRIM(SUBSTITUTE(BC33,CHAR(160),""))),0),2),
"Attention : Le montant retenu HT est supérieur au montant HT raisonnable. Merci de revoir la ligne de dépense, plafonner son montant, ou justifier la reventillation HT / TVA.",
ROUND(IFERROR(VALUE(TRIM(SUBSTITUTE(BG33,CHAR(160),""))),0),2)&gt;
ROUND(IFERROR(VALUE(TRIM(SUBSTITUTE(BD33,CHAR(160),""))),0),2),
"Attention : Le montant TVA retenu est supérieur au montant TVA raisonnable. Merci de revoir la ligne de dépense, plafonner son montant, ou justifier la reventillation HT / TVA.",
ROUND(IFERROR(VALUE(TRIM(SUBSTITUTE(BH33,CHAR(160),""))),0),2)&gt;
ROUND(IFERROR(VALUE(TRIM(SUBSTITUTE(MIN(N33,S33,X33),CHAR(160),""))),0),2),
"Attention : Le devis retenu n'est pas le moins cher. Une justification de la part du porteur est nécessaire.",
ROUND(IFERROR(VALUE(TRIM(SUBSTITUTE(BH33,CHAR(160),""))),0),2)=0,
"Attention : montant présenté entièrement écarté",
ROUND(IFERROR(VALUE(TRIM(SUBSTITUTE(BE33,CHAR(160),""))),0),2)=
ROUND(IFERROR(VALUE(TRIM(SUBSTITUTE(BH33,CHAR(160),""))),0),2),
"OK",
ROUND(IFERROR(VALUE(TRIM(SUBSTITUTE(BE33,CHAR(160),""))),0),2)&gt;
ROUND(IFERROR(VALUE(TRIM(SUBSTITUTE(BH33,CHAR(160),""))),0),2),
" OK : Montant instruit inférieur au montant raisonnable.",
TRUE,""
))</f>
        <v/>
      </c>
      <c r="BK33" s="774" t="str" cm="1">
        <f t="array" ref="BK33">IF(OR(BH33="",AB33="",BF33="",Z33="",BG33="",AA33=""),"",_xlfn.IFS(
ROUND(IFERROR(VALUE(TRIM(SUBSTITUTE(BH33,CHAR(160),""))),0),2)&gt;
ROUND(IFERROR(VALUE(TRIM(SUBSTITUTE(AB33,CHAR(160),""))),0),2),
"KO : Le montant retenu TTC est supérieur au montant présenté TTC. Merci de revoir la ligne de dépense ou plafonner son montant.",
ROUND(IFERROR(VALUE(TRIM(SUBSTITUTE(BF33,CHAR(160),""))),0),2)&gt;
ROUND(IFERROR(VALUE(TRIM(SUBSTITUTE(Z33,CHAR(160),""))),0),2),
"Attention : Le montant retenu HT est supérieur au montant HT présenté. Merci de revoir la ligne de dépense, plafonner son montant, ou justifier la reventillation HT / TVA.",
ROUND(IFERROR(VALUE(TRIM(SUBSTITUTE(BG33,CHAR(160),""))),0),2)&gt;
ROUND(IFERROR(VALUE(TRIM(SUBSTITUTE(AA33,CHAR(160),""))),0),2),
"Attention : Le montant TVA retenu est supérieur au montant TVA présenté. Merci de revoir la ligne de dépense, plafonner son montant, ou justifier la reventillation HT / TVA.",
ROUND(IFERROR(VALUE(TRIM(SUBSTITUTE(AB33,CHAR(160),""))),0),2)=0,
"",
ROUND(IFERROR(VALUE(TRIM(SUBSTITUTE(BH33,CHAR(160),""))),0),2)=
ROUND(IFERROR(VALUE(TRIM(SUBSTITUTE(AB33,CHAR(160),""))),0),2),
"OK",
ROUND(IFERROR(VALUE(TRIM(SUBSTITUTE(BH33,CHAR(160),""))),0),2)=0,
"Attention : Montant présenté entièrement rejeté.",
ROUND(IFERROR(VALUE(TRIM(SUBSTITUTE(BH33,CHAR(160),""))),0),2)&lt;
ROUND(IFERROR(VALUE(TRIM(SUBSTITUTE(AB33,CHAR(160),""))),0),2),
"Attention : Montant présenté partiellement rejeté.",
TRUE,""
))</f>
        <v/>
      </c>
      <c r="BL33" s="773" t="str">
        <f t="shared" si="48"/>
        <v/>
      </c>
      <c r="BM33" s="773" t="str">
        <f t="shared" si="49"/>
        <v/>
      </c>
      <c r="BN33" s="773" t="str">
        <f t="shared" si="50"/>
        <v/>
      </c>
    </row>
    <row r="34" spans="1:66" ht="15" customHeight="1">
      <c r="A34" s="193">
        <v>30</v>
      </c>
      <c r="B34" s="7"/>
      <c r="C34" s="9"/>
      <c r="D34" s="30"/>
      <c r="E34" s="36"/>
      <c r="F34" s="34"/>
      <c r="G34" s="35"/>
      <c r="H34" s="685"/>
      <c r="I34" s="786"/>
      <c r="J34" s="792"/>
      <c r="K34" s="758"/>
      <c r="L34" s="761"/>
      <c r="M34" s="762"/>
      <c r="N34" s="808" t="str">
        <f t="shared" si="21"/>
        <v/>
      </c>
      <c r="O34" s="846"/>
      <c r="P34" s="847"/>
      <c r="Q34" s="762"/>
      <c r="R34" s="762"/>
      <c r="S34" s="808" t="str">
        <f t="shared" si="22"/>
        <v/>
      </c>
      <c r="T34" s="850"/>
      <c r="U34" s="847"/>
      <c r="V34" s="762"/>
      <c r="W34" s="762"/>
      <c r="X34" s="830" t="str">
        <f t="shared" si="23"/>
        <v/>
      </c>
      <c r="Y34" s="246"/>
      <c r="Z34" s="284" t="str" cm="1">
        <f t="array" ref="Z34">IF((_xlfn.IFS(TRIM(SUBSTITUTE(Y34,CHAR(160),""))="Devis 1",IFERROR(VALUE(TRIM(SUBSTITUTE(L34,CHAR(160),""))),0),TRIM(SUBSTITUTE(Y34,CHAR(160),""))="Devis 2",IFERROR(VALUE(TRIM(SUBSTITUTE(Q34,CHAR(160),""))),0),TRIM(SUBSTITUTE(Y34,CHAR(160),""))="Devis 3",IFERROR(VALUE(TRIM(SUBSTITUTE(V34,CHAR(160),""))),0),TRUE,0)*IFERROR(VALUE(TRIM(SUBSTITUTE(C34,CHAR(160),""))),0))=0,"",_xlfn.IFS(TRIM(SUBSTITUTE(Y34,CHAR(160),""))="Devis 1",IFERROR(VALUE(TRIM(SUBSTITUTE(L34,CHAR(160),""))),0),TRIM(SUBSTITUTE(Y34,CHAR(160),""))="Devis 2",IFERROR(VALUE(TRIM(SUBSTITUTE(Q34,CHAR(160),""))),0),TRIM(SUBSTITUTE(Y34,CHAR(160),""))="Devis 3",IFERROR(VALUE(TRIM(SUBSTITUTE(V34,CHAR(160),""))),0),TRUE,0)*IFERROR(VALUE(TRIM(SUBSTITUTE(C34,CHAR(160),""))),0))</f>
        <v/>
      </c>
      <c r="AA34" s="275" t="str" cm="1">
        <f t="array" ref="AA34">IF((_xlfn.IFS(TRIM(SUBSTITUTE(Y34,CHAR(160),""))="Devis 1",IFERROR(VALUE(TRIM(SUBSTITUTE(M34,CHAR(160),""))),0),TRIM(SUBSTITUTE(Y34,CHAR(160),""))="Devis 2",IFERROR(VALUE(TRIM(SUBSTITUTE(R34,CHAR(160),""))),0),TRIM(SUBSTITUTE(Y34,CHAR(160),""))="Devis 3",IFERROR(VALUE(TRIM(SUBSTITUTE(W34,CHAR(160),""))),0),TRUE,0)*IFERROR(VALUE(TRIM(SUBSTITUTE(C34,CHAR(160),""))),0))=0,IF(Z34&lt;&gt;"",0,""),_xlfn.IFS(TRIM(SUBSTITUTE(Y34,CHAR(160),""))="Devis 1",IFERROR(VALUE(TRIM(SUBSTITUTE(M34,CHAR(160),""))),0),TRIM(SUBSTITUTE(Y34,CHAR(160),""))="Devis 2",IFERROR(VALUE(TRIM(SUBSTITUTE(R34,CHAR(160),""))),0),TRIM(SUBSTITUTE(Y34,CHAR(160),""))="Devis 3",IFERROR(VALUE(TRIM(SUBSTITUTE(W34,CHAR(160),""))),0),TRUE,0)*IFERROR(VALUE(TRIM(SUBSTITUTE(C34,CHAR(160),""))),0))</f>
        <v/>
      </c>
      <c r="AB34" s="285" t="str">
        <f t="shared" si="24"/>
        <v/>
      </c>
      <c r="AC34" s="209"/>
      <c r="AD34" s="747" t="str">
        <f t="shared" si="0"/>
        <v/>
      </c>
      <c r="AE34" s="747" t="str">
        <f t="shared" si="1"/>
        <v/>
      </c>
      <c r="AF34" s="747" t="str">
        <f t="shared" si="2"/>
        <v/>
      </c>
      <c r="AG34" s="747" t="str">
        <f t="shared" si="3"/>
        <v/>
      </c>
      <c r="AH34" s="747" t="str">
        <f t="shared" si="4"/>
        <v/>
      </c>
      <c r="AI34" s="747" t="str">
        <f t="shared" si="25"/>
        <v/>
      </c>
      <c r="AJ34" s="747" t="str">
        <f t="shared" si="26"/>
        <v/>
      </c>
      <c r="AK34" s="776" t="str">
        <f t="shared" si="27"/>
        <v/>
      </c>
      <c r="AL34" s="802" t="str">
        <f t="shared" si="28"/>
        <v/>
      </c>
      <c r="AM34" s="747" t="str">
        <f t="shared" si="29"/>
        <v/>
      </c>
      <c r="AN34" s="771" t="str">
        <f t="shared" si="30"/>
        <v/>
      </c>
      <c r="AO34" s="771" t="str">
        <f t="shared" si="31"/>
        <v/>
      </c>
      <c r="AP34" s="808" t="str">
        <f t="shared" si="32"/>
        <v/>
      </c>
      <c r="AQ34" s="819" t="str">
        <f t="shared" si="33"/>
        <v/>
      </c>
      <c r="AR34" s="771" t="str">
        <f t="shared" si="34"/>
        <v/>
      </c>
      <c r="AS34" s="771" t="str">
        <f t="shared" si="35"/>
        <v/>
      </c>
      <c r="AT34" s="771" t="str">
        <f t="shared" si="36"/>
        <v/>
      </c>
      <c r="AU34" s="808" t="str">
        <f t="shared" si="37"/>
        <v/>
      </c>
      <c r="AV34" s="842" t="str">
        <f t="shared" si="38"/>
        <v/>
      </c>
      <c r="AW34" s="771" t="str">
        <f t="shared" si="39"/>
        <v/>
      </c>
      <c r="AX34" s="771" t="str">
        <f t="shared" si="40"/>
        <v/>
      </c>
      <c r="AY34" s="771" t="str">
        <f t="shared" si="41"/>
        <v/>
      </c>
      <c r="AZ34" s="831" t="str">
        <f t="shared" si="42"/>
        <v/>
      </c>
      <c r="BA34" s="835" t="str">
        <f t="shared" si="43"/>
        <v/>
      </c>
      <c r="BB34" s="772"/>
      <c r="BC34" s="275" t="str">
        <f t="shared" si="44"/>
        <v/>
      </c>
      <c r="BD34" s="275" t="str">
        <f t="shared" si="45"/>
        <v/>
      </c>
      <c r="BE34" s="886" t="str">
        <f t="shared" si="46"/>
        <v/>
      </c>
      <c r="BF34" s="873" t="str" cm="1">
        <f t="array" ref="BF34">IF($AE34="","",
_xlfn.IFS(
$BA34="Devis 1",
IF(ISBLANK(AN34),"",IFERROR(VALUE(TRIM(SUBSTITUTE(AN34,CHAR(160),""))),0)*IFERROR(VALUE(TRIM(SUBSTITUTE($AE34,CHAR(160),""))),0)),
$BA34="Devis 2",
IF(ISBLANK(AS34),"",IFERROR(VALUE(TRIM(SUBSTITUTE(AS34,CHAR(160),""))),0)*IFERROR(VALUE(TRIM(SUBSTITUTE($AE34,CHAR(160),""))),0)),
$BA34="Devis 3",
IF(ISBLANK(AX34),"",IFERROR(VALUE(TRIM(SUBSTITUTE(AX34,CHAR(160),""))),0)*IFERROR(VALUE(TRIM(SUBSTITUTE($AE34,CHAR(160),""))),0)),
TRUE,0
)
)</f>
        <v/>
      </c>
      <c r="BG34" s="873" t="str" cm="1">
        <f t="array" ref="BG34">IF($AE34="","",
_xlfn.IFS(
$BA34="Devis 1",
IF(ISBLANK(AO34),"",IFERROR(VALUE(TRIM(SUBSTITUTE(AO34,CHAR(160),""))),0)*IFERROR(VALUE(TRIM(SUBSTITUTE($AE34,CHAR(160),""))),0)),
$BA34="Devis 2",
IF(ISBLANK(AT34),"",IFERROR(VALUE(TRIM(SUBSTITUTE(AT34,CHAR(160),""))),0)*IFERROR(VALUE(TRIM(SUBSTITUTE($AE34,CHAR(160),""))),0)),
$BA34="Devis 3",
IF(ISBLANK(AY34),"",IFERROR(VALUE(TRIM(SUBSTITUTE(AY34,CHAR(160),""))),0)*IFERROR(VALUE(TRIM(SUBSTITUTE($AE34,CHAR(160),""))),0)),
TRUE,0
)
)</f>
        <v/>
      </c>
      <c r="BH34" s="874" t="str">
        <f t="shared" si="47"/>
        <v/>
      </c>
      <c r="BI34" s="866"/>
      <c r="BJ34" s="774" t="str" cm="1">
        <f t="array" ref="BJ34">IF(OR(BH34="",BE34="",BF34="",BC34="",BG34="",BD34=""),"",_xlfn.IFS(
ROUND(IFERROR(VALUE(TRIM(SUBSTITUTE(BH34,CHAR(160),""))),0),2)&gt;
ROUND(IFERROR(VALUE(TRIM(SUBSTITUTE(BE34,CHAR(160),""))),0),2),
"KO : Le montant retenu TTC est supérieur au montant raisonnable TTC. Merci de revoir la ligne de dépense ou plafonner son montant.",
ROUND(IFERROR(VALUE(TRIM(SUBSTITUTE(BF34,CHAR(160),""))),0),2)&gt;
ROUND(IFERROR(VALUE(TRIM(SUBSTITUTE(BC34,CHAR(160),""))),0),2),
"Attention : Le montant retenu HT est supérieur au montant HT raisonnable. Merci de revoir la ligne de dépense, plafonner son montant, ou justifier la reventillation HT / TVA.",
ROUND(IFERROR(VALUE(TRIM(SUBSTITUTE(BG34,CHAR(160),""))),0),2)&gt;
ROUND(IFERROR(VALUE(TRIM(SUBSTITUTE(BD34,CHAR(160),""))),0),2),
"Attention : Le montant TVA retenu est supérieur au montant TVA raisonnable. Merci de revoir la ligne de dépense, plafonner son montant, ou justifier la reventillation HT / TVA.",
ROUND(IFERROR(VALUE(TRIM(SUBSTITUTE(BH34,CHAR(160),""))),0),2)&gt;
ROUND(IFERROR(VALUE(TRIM(SUBSTITUTE(MIN(N34,S34,X34),CHAR(160),""))),0),2),
"Attention : Le devis retenu n'est pas le moins cher. Une justification de la part du porteur est nécessaire.",
ROUND(IFERROR(VALUE(TRIM(SUBSTITUTE(BH34,CHAR(160),""))),0),2)=0,
"Attention : montant présenté entièrement écarté",
ROUND(IFERROR(VALUE(TRIM(SUBSTITUTE(BE34,CHAR(160),""))),0),2)=
ROUND(IFERROR(VALUE(TRIM(SUBSTITUTE(BH34,CHAR(160),""))),0),2),
"OK",
ROUND(IFERROR(VALUE(TRIM(SUBSTITUTE(BE34,CHAR(160),""))),0),2)&gt;
ROUND(IFERROR(VALUE(TRIM(SUBSTITUTE(BH34,CHAR(160),""))),0),2),
" OK : Montant instruit inférieur au montant raisonnable.",
TRUE,""
))</f>
        <v/>
      </c>
      <c r="BK34" s="774" t="str" cm="1">
        <f t="array" ref="BK34">IF(OR(BH34="",AB34="",BF34="",Z34="",BG34="",AA34=""),"",_xlfn.IFS(
ROUND(IFERROR(VALUE(TRIM(SUBSTITUTE(BH34,CHAR(160),""))),0),2)&gt;
ROUND(IFERROR(VALUE(TRIM(SUBSTITUTE(AB34,CHAR(160),""))),0),2),
"KO : Le montant retenu TTC est supérieur au montant présenté TTC. Merci de revoir la ligne de dépense ou plafonner son montant.",
ROUND(IFERROR(VALUE(TRIM(SUBSTITUTE(BF34,CHAR(160),""))),0),2)&gt;
ROUND(IFERROR(VALUE(TRIM(SUBSTITUTE(Z34,CHAR(160),""))),0),2),
"Attention : Le montant retenu HT est supérieur au montant HT présenté. Merci de revoir la ligne de dépense, plafonner son montant, ou justifier la reventillation HT / TVA.",
ROUND(IFERROR(VALUE(TRIM(SUBSTITUTE(BG34,CHAR(160),""))),0),2)&gt;
ROUND(IFERROR(VALUE(TRIM(SUBSTITUTE(AA34,CHAR(160),""))),0),2),
"Attention : Le montant TVA retenu est supérieur au montant TVA présenté. Merci de revoir la ligne de dépense, plafonner son montant, ou justifier la reventillation HT / TVA.",
ROUND(IFERROR(VALUE(TRIM(SUBSTITUTE(AB34,CHAR(160),""))),0),2)=0,
"",
ROUND(IFERROR(VALUE(TRIM(SUBSTITUTE(BH34,CHAR(160),""))),0),2)=
ROUND(IFERROR(VALUE(TRIM(SUBSTITUTE(AB34,CHAR(160),""))),0),2),
"OK",
ROUND(IFERROR(VALUE(TRIM(SUBSTITUTE(BH34,CHAR(160),""))),0),2)=0,
"Attention : Montant présenté entièrement rejeté.",
ROUND(IFERROR(VALUE(TRIM(SUBSTITUTE(BH34,CHAR(160),""))),0),2)&lt;
ROUND(IFERROR(VALUE(TRIM(SUBSTITUTE(AB34,CHAR(160),""))),0),2),
"Attention : Montant présenté partiellement rejeté.",
TRUE,""
))</f>
        <v/>
      </c>
      <c r="BL34" s="773" t="str">
        <f t="shared" si="48"/>
        <v/>
      </c>
      <c r="BM34" s="773" t="str">
        <f t="shared" si="49"/>
        <v/>
      </c>
      <c r="BN34" s="773" t="str">
        <f t="shared" si="50"/>
        <v/>
      </c>
    </row>
    <row r="35" spans="1:66" ht="15" customHeight="1">
      <c r="A35" s="193">
        <v>31</v>
      </c>
      <c r="B35" s="7"/>
      <c r="C35" s="9"/>
      <c r="D35" s="30"/>
      <c r="E35" s="36"/>
      <c r="F35" s="34"/>
      <c r="G35" s="35"/>
      <c r="H35" s="685"/>
      <c r="I35" s="786"/>
      <c r="J35" s="792"/>
      <c r="K35" s="758"/>
      <c r="L35" s="761"/>
      <c r="M35" s="762"/>
      <c r="N35" s="808" t="str">
        <f t="shared" si="21"/>
        <v/>
      </c>
      <c r="O35" s="846"/>
      <c r="P35" s="847"/>
      <c r="Q35" s="762"/>
      <c r="R35" s="762"/>
      <c r="S35" s="808" t="str">
        <f t="shared" si="22"/>
        <v/>
      </c>
      <c r="T35" s="850"/>
      <c r="U35" s="847"/>
      <c r="V35" s="762"/>
      <c r="W35" s="762"/>
      <c r="X35" s="830" t="str">
        <f t="shared" si="23"/>
        <v/>
      </c>
      <c r="Y35" s="246"/>
      <c r="Z35" s="284" t="str" cm="1">
        <f t="array" ref="Z35">IF((_xlfn.IFS(TRIM(SUBSTITUTE(Y35,CHAR(160),""))="Devis 1",IFERROR(VALUE(TRIM(SUBSTITUTE(L35,CHAR(160),""))),0),TRIM(SUBSTITUTE(Y35,CHAR(160),""))="Devis 2",IFERROR(VALUE(TRIM(SUBSTITUTE(Q35,CHAR(160),""))),0),TRIM(SUBSTITUTE(Y35,CHAR(160),""))="Devis 3",IFERROR(VALUE(TRIM(SUBSTITUTE(V35,CHAR(160),""))),0),TRUE,0)*IFERROR(VALUE(TRIM(SUBSTITUTE(C35,CHAR(160),""))),0))=0,"",_xlfn.IFS(TRIM(SUBSTITUTE(Y35,CHAR(160),""))="Devis 1",IFERROR(VALUE(TRIM(SUBSTITUTE(L35,CHAR(160),""))),0),TRIM(SUBSTITUTE(Y35,CHAR(160),""))="Devis 2",IFERROR(VALUE(TRIM(SUBSTITUTE(Q35,CHAR(160),""))),0),TRIM(SUBSTITUTE(Y35,CHAR(160),""))="Devis 3",IFERROR(VALUE(TRIM(SUBSTITUTE(V35,CHAR(160),""))),0),TRUE,0)*IFERROR(VALUE(TRIM(SUBSTITUTE(C35,CHAR(160),""))),0))</f>
        <v/>
      </c>
      <c r="AA35" s="275" t="str" cm="1">
        <f t="array" ref="AA35">IF((_xlfn.IFS(TRIM(SUBSTITUTE(Y35,CHAR(160),""))="Devis 1",IFERROR(VALUE(TRIM(SUBSTITUTE(M35,CHAR(160),""))),0),TRIM(SUBSTITUTE(Y35,CHAR(160),""))="Devis 2",IFERROR(VALUE(TRIM(SUBSTITUTE(R35,CHAR(160),""))),0),TRIM(SUBSTITUTE(Y35,CHAR(160),""))="Devis 3",IFERROR(VALUE(TRIM(SUBSTITUTE(W35,CHAR(160),""))),0),TRUE,0)*IFERROR(VALUE(TRIM(SUBSTITUTE(C35,CHAR(160),""))),0))=0,IF(Z35&lt;&gt;"",0,""),_xlfn.IFS(TRIM(SUBSTITUTE(Y35,CHAR(160),""))="Devis 1",IFERROR(VALUE(TRIM(SUBSTITUTE(M35,CHAR(160),""))),0),TRIM(SUBSTITUTE(Y35,CHAR(160),""))="Devis 2",IFERROR(VALUE(TRIM(SUBSTITUTE(R35,CHAR(160),""))),0),TRIM(SUBSTITUTE(Y35,CHAR(160),""))="Devis 3",IFERROR(VALUE(TRIM(SUBSTITUTE(W35,CHAR(160),""))),0),TRUE,0)*IFERROR(VALUE(TRIM(SUBSTITUTE(C35,CHAR(160),""))),0))</f>
        <v/>
      </c>
      <c r="AB35" s="285" t="str">
        <f t="shared" si="24"/>
        <v/>
      </c>
      <c r="AC35" s="209"/>
      <c r="AD35" s="747" t="str">
        <f t="shared" si="0"/>
        <v/>
      </c>
      <c r="AE35" s="747" t="str">
        <f t="shared" si="1"/>
        <v/>
      </c>
      <c r="AF35" s="747" t="str">
        <f t="shared" si="2"/>
        <v/>
      </c>
      <c r="AG35" s="747" t="str">
        <f t="shared" si="3"/>
        <v/>
      </c>
      <c r="AH35" s="747" t="str">
        <f t="shared" si="4"/>
        <v/>
      </c>
      <c r="AI35" s="747" t="str">
        <f t="shared" si="25"/>
        <v/>
      </c>
      <c r="AJ35" s="747" t="str">
        <f t="shared" si="26"/>
        <v/>
      </c>
      <c r="AK35" s="776" t="str">
        <f t="shared" si="27"/>
        <v/>
      </c>
      <c r="AL35" s="802" t="str">
        <f t="shared" si="28"/>
        <v/>
      </c>
      <c r="AM35" s="747" t="str">
        <f t="shared" si="29"/>
        <v/>
      </c>
      <c r="AN35" s="771" t="str">
        <f t="shared" si="30"/>
        <v/>
      </c>
      <c r="AO35" s="771" t="str">
        <f t="shared" si="31"/>
        <v/>
      </c>
      <c r="AP35" s="808" t="str">
        <f t="shared" si="32"/>
        <v/>
      </c>
      <c r="AQ35" s="819" t="str">
        <f t="shared" si="33"/>
        <v/>
      </c>
      <c r="AR35" s="771" t="str">
        <f t="shared" si="34"/>
        <v/>
      </c>
      <c r="AS35" s="771" t="str">
        <f t="shared" si="35"/>
        <v/>
      </c>
      <c r="AT35" s="771" t="str">
        <f t="shared" si="36"/>
        <v/>
      </c>
      <c r="AU35" s="808" t="str">
        <f t="shared" si="37"/>
        <v/>
      </c>
      <c r="AV35" s="842" t="str">
        <f t="shared" si="38"/>
        <v/>
      </c>
      <c r="AW35" s="771" t="str">
        <f t="shared" si="39"/>
        <v/>
      </c>
      <c r="AX35" s="771" t="str">
        <f t="shared" si="40"/>
        <v/>
      </c>
      <c r="AY35" s="771" t="str">
        <f t="shared" si="41"/>
        <v/>
      </c>
      <c r="AZ35" s="831" t="str">
        <f t="shared" si="42"/>
        <v/>
      </c>
      <c r="BA35" s="835" t="str">
        <f t="shared" si="43"/>
        <v/>
      </c>
      <c r="BB35" s="772"/>
      <c r="BC35" s="275" t="str">
        <f t="shared" si="44"/>
        <v/>
      </c>
      <c r="BD35" s="275" t="str">
        <f t="shared" si="45"/>
        <v/>
      </c>
      <c r="BE35" s="886" t="str">
        <f t="shared" si="46"/>
        <v/>
      </c>
      <c r="BF35" s="873" t="str" cm="1">
        <f t="array" ref="BF35">IF($AE35="","",
_xlfn.IFS(
$BA35="Devis 1",
IF(ISBLANK(AN35),"",IFERROR(VALUE(TRIM(SUBSTITUTE(AN35,CHAR(160),""))),0)*IFERROR(VALUE(TRIM(SUBSTITUTE($AE35,CHAR(160),""))),0)),
$BA35="Devis 2",
IF(ISBLANK(AS35),"",IFERROR(VALUE(TRIM(SUBSTITUTE(AS35,CHAR(160),""))),0)*IFERROR(VALUE(TRIM(SUBSTITUTE($AE35,CHAR(160),""))),0)),
$BA35="Devis 3",
IF(ISBLANK(AX35),"",IFERROR(VALUE(TRIM(SUBSTITUTE(AX35,CHAR(160),""))),0)*IFERROR(VALUE(TRIM(SUBSTITUTE($AE35,CHAR(160),""))),0)),
TRUE,0
)
)</f>
        <v/>
      </c>
      <c r="BG35" s="873" t="str" cm="1">
        <f t="array" ref="BG35">IF($AE35="","",
_xlfn.IFS(
$BA35="Devis 1",
IF(ISBLANK(AO35),"",IFERROR(VALUE(TRIM(SUBSTITUTE(AO35,CHAR(160),""))),0)*IFERROR(VALUE(TRIM(SUBSTITUTE($AE35,CHAR(160),""))),0)),
$BA35="Devis 2",
IF(ISBLANK(AT35),"",IFERROR(VALUE(TRIM(SUBSTITUTE(AT35,CHAR(160),""))),0)*IFERROR(VALUE(TRIM(SUBSTITUTE($AE35,CHAR(160),""))),0)),
$BA35="Devis 3",
IF(ISBLANK(AY35),"",IFERROR(VALUE(TRIM(SUBSTITUTE(AY35,CHAR(160),""))),0)*IFERROR(VALUE(TRIM(SUBSTITUTE($AE35,CHAR(160),""))),0)),
TRUE,0
)
)</f>
        <v/>
      </c>
      <c r="BH35" s="874" t="str">
        <f t="shared" si="47"/>
        <v/>
      </c>
      <c r="BI35" s="866"/>
      <c r="BJ35" s="774" t="str" cm="1">
        <f t="array" ref="BJ35">IF(OR(BH35="",BE35="",BF35="",BC35="",BG35="",BD35=""),"",_xlfn.IFS(
ROUND(IFERROR(VALUE(TRIM(SUBSTITUTE(BH35,CHAR(160),""))),0),2)&gt;
ROUND(IFERROR(VALUE(TRIM(SUBSTITUTE(BE35,CHAR(160),""))),0),2),
"KO : Le montant retenu TTC est supérieur au montant raisonnable TTC. Merci de revoir la ligne de dépense ou plafonner son montant.",
ROUND(IFERROR(VALUE(TRIM(SUBSTITUTE(BF35,CHAR(160),""))),0),2)&gt;
ROUND(IFERROR(VALUE(TRIM(SUBSTITUTE(BC35,CHAR(160),""))),0),2),
"Attention : Le montant retenu HT est supérieur au montant HT raisonnable. Merci de revoir la ligne de dépense, plafonner son montant, ou justifier la reventillation HT / TVA.",
ROUND(IFERROR(VALUE(TRIM(SUBSTITUTE(BG35,CHAR(160),""))),0),2)&gt;
ROUND(IFERROR(VALUE(TRIM(SUBSTITUTE(BD35,CHAR(160),""))),0),2),
"Attention : Le montant TVA retenu est supérieur au montant TVA raisonnable. Merci de revoir la ligne de dépense, plafonner son montant, ou justifier la reventillation HT / TVA.",
ROUND(IFERROR(VALUE(TRIM(SUBSTITUTE(BH35,CHAR(160),""))),0),2)&gt;
ROUND(IFERROR(VALUE(TRIM(SUBSTITUTE(MIN(N35,S35,X35),CHAR(160),""))),0),2),
"Attention : Le devis retenu n'est pas le moins cher. Une justification de la part du porteur est nécessaire.",
ROUND(IFERROR(VALUE(TRIM(SUBSTITUTE(BH35,CHAR(160),""))),0),2)=0,
"Attention : montant présenté entièrement écarté",
ROUND(IFERROR(VALUE(TRIM(SUBSTITUTE(BE35,CHAR(160),""))),0),2)=
ROUND(IFERROR(VALUE(TRIM(SUBSTITUTE(BH35,CHAR(160),""))),0),2),
"OK",
ROUND(IFERROR(VALUE(TRIM(SUBSTITUTE(BE35,CHAR(160),""))),0),2)&gt;
ROUND(IFERROR(VALUE(TRIM(SUBSTITUTE(BH35,CHAR(160),""))),0),2),
" OK : Montant instruit inférieur au montant raisonnable.",
TRUE,""
))</f>
        <v/>
      </c>
      <c r="BK35" s="774" t="str" cm="1">
        <f t="array" ref="BK35">IF(OR(BH35="",AB35="",BF35="",Z35="",BG35="",AA35=""),"",_xlfn.IFS(
ROUND(IFERROR(VALUE(TRIM(SUBSTITUTE(BH35,CHAR(160),""))),0),2)&gt;
ROUND(IFERROR(VALUE(TRIM(SUBSTITUTE(AB35,CHAR(160),""))),0),2),
"KO : Le montant retenu TTC est supérieur au montant présenté TTC. Merci de revoir la ligne de dépense ou plafonner son montant.",
ROUND(IFERROR(VALUE(TRIM(SUBSTITUTE(BF35,CHAR(160),""))),0),2)&gt;
ROUND(IFERROR(VALUE(TRIM(SUBSTITUTE(Z35,CHAR(160),""))),0),2),
"Attention : Le montant retenu HT est supérieur au montant HT présenté. Merci de revoir la ligne de dépense, plafonner son montant, ou justifier la reventillation HT / TVA.",
ROUND(IFERROR(VALUE(TRIM(SUBSTITUTE(BG35,CHAR(160),""))),0),2)&gt;
ROUND(IFERROR(VALUE(TRIM(SUBSTITUTE(AA35,CHAR(160),""))),0),2),
"Attention : Le montant TVA retenu est supérieur au montant TVA présenté. Merci de revoir la ligne de dépense, plafonner son montant, ou justifier la reventillation HT / TVA.",
ROUND(IFERROR(VALUE(TRIM(SUBSTITUTE(AB35,CHAR(160),""))),0),2)=0,
"",
ROUND(IFERROR(VALUE(TRIM(SUBSTITUTE(BH35,CHAR(160),""))),0),2)=
ROUND(IFERROR(VALUE(TRIM(SUBSTITUTE(AB35,CHAR(160),""))),0),2),
"OK",
ROUND(IFERROR(VALUE(TRIM(SUBSTITUTE(BH35,CHAR(160),""))),0),2)=0,
"Attention : Montant présenté entièrement rejeté.",
ROUND(IFERROR(VALUE(TRIM(SUBSTITUTE(BH35,CHAR(160),""))),0),2)&lt;
ROUND(IFERROR(VALUE(TRIM(SUBSTITUTE(AB35,CHAR(160),""))),0),2),
"Attention : Montant présenté partiellement rejeté.",
TRUE,""
))</f>
        <v/>
      </c>
      <c r="BL35" s="773" t="str">
        <f t="shared" si="48"/>
        <v/>
      </c>
      <c r="BM35" s="773" t="str">
        <f t="shared" si="49"/>
        <v/>
      </c>
      <c r="BN35" s="773" t="str">
        <f t="shared" si="50"/>
        <v/>
      </c>
    </row>
    <row r="36" spans="1:66" ht="15" customHeight="1">
      <c r="A36" s="193">
        <v>32</v>
      </c>
      <c r="B36" s="7"/>
      <c r="C36" s="9"/>
      <c r="D36" s="30"/>
      <c r="E36" s="36"/>
      <c r="F36" s="34"/>
      <c r="G36" s="35"/>
      <c r="H36" s="685"/>
      <c r="I36" s="786"/>
      <c r="J36" s="792"/>
      <c r="K36" s="758"/>
      <c r="L36" s="761"/>
      <c r="M36" s="762"/>
      <c r="N36" s="808" t="str">
        <f t="shared" si="21"/>
        <v/>
      </c>
      <c r="O36" s="846"/>
      <c r="P36" s="847"/>
      <c r="Q36" s="762"/>
      <c r="R36" s="762"/>
      <c r="S36" s="808" t="str">
        <f t="shared" si="22"/>
        <v/>
      </c>
      <c r="T36" s="850"/>
      <c r="U36" s="847"/>
      <c r="V36" s="762"/>
      <c r="W36" s="762"/>
      <c r="X36" s="830" t="str">
        <f t="shared" si="23"/>
        <v/>
      </c>
      <c r="Y36" s="246"/>
      <c r="Z36" s="284" t="str" cm="1">
        <f t="array" ref="Z36">IF((_xlfn.IFS(TRIM(SUBSTITUTE(Y36,CHAR(160),""))="Devis 1",IFERROR(VALUE(TRIM(SUBSTITUTE(L36,CHAR(160),""))),0),TRIM(SUBSTITUTE(Y36,CHAR(160),""))="Devis 2",IFERROR(VALUE(TRIM(SUBSTITUTE(Q36,CHAR(160),""))),0),TRIM(SUBSTITUTE(Y36,CHAR(160),""))="Devis 3",IFERROR(VALUE(TRIM(SUBSTITUTE(V36,CHAR(160),""))),0),TRUE,0)*IFERROR(VALUE(TRIM(SUBSTITUTE(C36,CHAR(160),""))),0))=0,"",_xlfn.IFS(TRIM(SUBSTITUTE(Y36,CHAR(160),""))="Devis 1",IFERROR(VALUE(TRIM(SUBSTITUTE(L36,CHAR(160),""))),0),TRIM(SUBSTITUTE(Y36,CHAR(160),""))="Devis 2",IFERROR(VALUE(TRIM(SUBSTITUTE(Q36,CHAR(160),""))),0),TRIM(SUBSTITUTE(Y36,CHAR(160),""))="Devis 3",IFERROR(VALUE(TRIM(SUBSTITUTE(V36,CHAR(160),""))),0),TRUE,0)*IFERROR(VALUE(TRIM(SUBSTITUTE(C36,CHAR(160),""))),0))</f>
        <v/>
      </c>
      <c r="AA36" s="275" t="str" cm="1">
        <f t="array" ref="AA36">IF((_xlfn.IFS(TRIM(SUBSTITUTE(Y36,CHAR(160),""))="Devis 1",IFERROR(VALUE(TRIM(SUBSTITUTE(M36,CHAR(160),""))),0),TRIM(SUBSTITUTE(Y36,CHAR(160),""))="Devis 2",IFERROR(VALUE(TRIM(SUBSTITUTE(R36,CHAR(160),""))),0),TRIM(SUBSTITUTE(Y36,CHAR(160),""))="Devis 3",IFERROR(VALUE(TRIM(SUBSTITUTE(W36,CHAR(160),""))),0),TRUE,0)*IFERROR(VALUE(TRIM(SUBSTITUTE(C36,CHAR(160),""))),0))=0,IF(Z36&lt;&gt;"",0,""),_xlfn.IFS(TRIM(SUBSTITUTE(Y36,CHAR(160),""))="Devis 1",IFERROR(VALUE(TRIM(SUBSTITUTE(M36,CHAR(160),""))),0),TRIM(SUBSTITUTE(Y36,CHAR(160),""))="Devis 2",IFERROR(VALUE(TRIM(SUBSTITUTE(R36,CHAR(160),""))),0),TRIM(SUBSTITUTE(Y36,CHAR(160),""))="Devis 3",IFERROR(VALUE(TRIM(SUBSTITUTE(W36,CHAR(160),""))),0),TRUE,0)*IFERROR(VALUE(TRIM(SUBSTITUTE(C36,CHAR(160),""))),0))</f>
        <v/>
      </c>
      <c r="AB36" s="285" t="str">
        <f t="shared" si="24"/>
        <v/>
      </c>
      <c r="AC36" s="209"/>
      <c r="AD36" s="747" t="str">
        <f t="shared" ref="AD36:AD67" si="51">IF(B36="","",B36)</f>
        <v/>
      </c>
      <c r="AE36" s="747" t="str">
        <f t="shared" ref="AE36:AE67" si="52">IF(C36="","",C36)</f>
        <v/>
      </c>
      <c r="AF36" s="747" t="str">
        <f t="shared" ref="AF36:AF67" si="53">IF(D36="","",D36)</f>
        <v/>
      </c>
      <c r="AG36" s="747" t="str">
        <f t="shared" ref="AG36:AG67" si="54">IF(E36="","",E36)</f>
        <v/>
      </c>
      <c r="AH36" s="747" t="str">
        <f t="shared" ref="AH36:AH67" si="55">IF(F36="","",F36)</f>
        <v/>
      </c>
      <c r="AI36" s="747" t="str">
        <f t="shared" si="25"/>
        <v/>
      </c>
      <c r="AJ36" s="747" t="str">
        <f t="shared" si="26"/>
        <v/>
      </c>
      <c r="AK36" s="776" t="str">
        <f t="shared" si="27"/>
        <v/>
      </c>
      <c r="AL36" s="802" t="str">
        <f t="shared" si="28"/>
        <v/>
      </c>
      <c r="AM36" s="747" t="str">
        <f t="shared" si="29"/>
        <v/>
      </c>
      <c r="AN36" s="771" t="str">
        <f t="shared" si="30"/>
        <v/>
      </c>
      <c r="AO36" s="771" t="str">
        <f t="shared" si="31"/>
        <v/>
      </c>
      <c r="AP36" s="808" t="str">
        <f t="shared" si="32"/>
        <v/>
      </c>
      <c r="AQ36" s="819" t="str">
        <f t="shared" si="33"/>
        <v/>
      </c>
      <c r="AR36" s="771" t="str">
        <f t="shared" si="34"/>
        <v/>
      </c>
      <c r="AS36" s="771" t="str">
        <f t="shared" si="35"/>
        <v/>
      </c>
      <c r="AT36" s="771" t="str">
        <f t="shared" si="36"/>
        <v/>
      </c>
      <c r="AU36" s="808" t="str">
        <f t="shared" si="37"/>
        <v/>
      </c>
      <c r="AV36" s="842" t="str">
        <f t="shared" si="38"/>
        <v/>
      </c>
      <c r="AW36" s="771" t="str">
        <f t="shared" si="39"/>
        <v/>
      </c>
      <c r="AX36" s="771" t="str">
        <f t="shared" si="40"/>
        <v/>
      </c>
      <c r="AY36" s="771" t="str">
        <f t="shared" si="41"/>
        <v/>
      </c>
      <c r="AZ36" s="831" t="str">
        <f t="shared" si="42"/>
        <v/>
      </c>
      <c r="BA36" s="835" t="str">
        <f t="shared" si="43"/>
        <v/>
      </c>
      <c r="BB36" s="772"/>
      <c r="BC36" s="275" t="str">
        <f t="shared" si="44"/>
        <v/>
      </c>
      <c r="BD36" s="275" t="str">
        <f t="shared" si="45"/>
        <v/>
      </c>
      <c r="BE36" s="886" t="str">
        <f t="shared" si="46"/>
        <v/>
      </c>
      <c r="BF36" s="873" t="str" cm="1">
        <f t="array" ref="BF36">IF($AE36="","",
_xlfn.IFS(
$BA36="Devis 1",
IF(ISBLANK(AN36),"",IFERROR(VALUE(TRIM(SUBSTITUTE(AN36,CHAR(160),""))),0)*IFERROR(VALUE(TRIM(SUBSTITUTE($AE36,CHAR(160),""))),0)),
$BA36="Devis 2",
IF(ISBLANK(AS36),"",IFERROR(VALUE(TRIM(SUBSTITUTE(AS36,CHAR(160),""))),0)*IFERROR(VALUE(TRIM(SUBSTITUTE($AE36,CHAR(160),""))),0)),
$BA36="Devis 3",
IF(ISBLANK(AX36),"",IFERROR(VALUE(TRIM(SUBSTITUTE(AX36,CHAR(160),""))),0)*IFERROR(VALUE(TRIM(SUBSTITUTE($AE36,CHAR(160),""))),0)),
TRUE,0
)
)</f>
        <v/>
      </c>
      <c r="BG36" s="873" t="str" cm="1">
        <f t="array" ref="BG36">IF($AE36="","",
_xlfn.IFS(
$BA36="Devis 1",
IF(ISBLANK(AO36),"",IFERROR(VALUE(TRIM(SUBSTITUTE(AO36,CHAR(160),""))),0)*IFERROR(VALUE(TRIM(SUBSTITUTE($AE36,CHAR(160),""))),0)),
$BA36="Devis 2",
IF(ISBLANK(AT36),"",IFERROR(VALUE(TRIM(SUBSTITUTE(AT36,CHAR(160),""))),0)*IFERROR(VALUE(TRIM(SUBSTITUTE($AE36,CHAR(160),""))),0)),
$BA36="Devis 3",
IF(ISBLANK(AY36),"",IFERROR(VALUE(TRIM(SUBSTITUTE(AY36,CHAR(160),""))),0)*IFERROR(VALUE(TRIM(SUBSTITUTE($AE36,CHAR(160),""))),0)),
TRUE,0
)
)</f>
        <v/>
      </c>
      <c r="BH36" s="874" t="str">
        <f t="shared" si="47"/>
        <v/>
      </c>
      <c r="BI36" s="866"/>
      <c r="BJ36" s="774" t="str" cm="1">
        <f t="array" ref="BJ36">IF(OR(BH36="",BE36="",BF36="",BC36="",BG36="",BD36=""),"",_xlfn.IFS(
ROUND(IFERROR(VALUE(TRIM(SUBSTITUTE(BH36,CHAR(160),""))),0),2)&gt;
ROUND(IFERROR(VALUE(TRIM(SUBSTITUTE(BE36,CHAR(160),""))),0),2),
"KO : Le montant retenu TTC est supérieur au montant raisonnable TTC. Merci de revoir la ligne de dépense ou plafonner son montant.",
ROUND(IFERROR(VALUE(TRIM(SUBSTITUTE(BF36,CHAR(160),""))),0),2)&gt;
ROUND(IFERROR(VALUE(TRIM(SUBSTITUTE(BC36,CHAR(160),""))),0),2),
"Attention : Le montant retenu HT est supérieur au montant HT raisonnable. Merci de revoir la ligne de dépense, plafonner son montant, ou justifier la reventillation HT / TVA.",
ROUND(IFERROR(VALUE(TRIM(SUBSTITUTE(BG36,CHAR(160),""))),0),2)&gt;
ROUND(IFERROR(VALUE(TRIM(SUBSTITUTE(BD36,CHAR(160),""))),0),2),
"Attention : Le montant TVA retenu est supérieur au montant TVA raisonnable. Merci de revoir la ligne de dépense, plafonner son montant, ou justifier la reventillation HT / TVA.",
ROUND(IFERROR(VALUE(TRIM(SUBSTITUTE(BH36,CHAR(160),""))),0),2)&gt;
ROUND(IFERROR(VALUE(TRIM(SUBSTITUTE(MIN(N36,S36,X36),CHAR(160),""))),0),2),
"Attention : Le devis retenu n'est pas le moins cher. Une justification de la part du porteur est nécessaire.",
ROUND(IFERROR(VALUE(TRIM(SUBSTITUTE(BH36,CHAR(160),""))),0),2)=0,
"Attention : montant présenté entièrement écarté",
ROUND(IFERROR(VALUE(TRIM(SUBSTITUTE(BE36,CHAR(160),""))),0),2)=
ROUND(IFERROR(VALUE(TRIM(SUBSTITUTE(BH36,CHAR(160),""))),0),2),
"OK",
ROUND(IFERROR(VALUE(TRIM(SUBSTITUTE(BE36,CHAR(160),""))),0),2)&gt;
ROUND(IFERROR(VALUE(TRIM(SUBSTITUTE(BH36,CHAR(160),""))),0),2),
" OK : Montant instruit inférieur au montant raisonnable.",
TRUE,""
))</f>
        <v/>
      </c>
      <c r="BK36" s="774" t="str" cm="1">
        <f t="array" ref="BK36">IF(OR(BH36="",AB36="",BF36="",Z36="",BG36="",AA36=""),"",_xlfn.IFS(
ROUND(IFERROR(VALUE(TRIM(SUBSTITUTE(BH36,CHAR(160),""))),0),2)&gt;
ROUND(IFERROR(VALUE(TRIM(SUBSTITUTE(AB36,CHAR(160),""))),0),2),
"KO : Le montant retenu TTC est supérieur au montant présenté TTC. Merci de revoir la ligne de dépense ou plafonner son montant.",
ROUND(IFERROR(VALUE(TRIM(SUBSTITUTE(BF36,CHAR(160),""))),0),2)&gt;
ROUND(IFERROR(VALUE(TRIM(SUBSTITUTE(Z36,CHAR(160),""))),0),2),
"Attention : Le montant retenu HT est supérieur au montant HT présenté. Merci de revoir la ligne de dépense, plafonner son montant, ou justifier la reventillation HT / TVA.",
ROUND(IFERROR(VALUE(TRIM(SUBSTITUTE(BG36,CHAR(160),""))),0),2)&gt;
ROUND(IFERROR(VALUE(TRIM(SUBSTITUTE(AA36,CHAR(160),""))),0),2),
"Attention : Le montant TVA retenu est supérieur au montant TVA présenté. Merci de revoir la ligne de dépense, plafonner son montant, ou justifier la reventillation HT / TVA.",
ROUND(IFERROR(VALUE(TRIM(SUBSTITUTE(AB36,CHAR(160),""))),0),2)=0,
"",
ROUND(IFERROR(VALUE(TRIM(SUBSTITUTE(BH36,CHAR(160),""))),0),2)=
ROUND(IFERROR(VALUE(TRIM(SUBSTITUTE(AB36,CHAR(160),""))),0),2),
"OK",
ROUND(IFERROR(VALUE(TRIM(SUBSTITUTE(BH36,CHAR(160),""))),0),2)=0,
"Attention : Montant présenté entièrement rejeté.",
ROUND(IFERROR(VALUE(TRIM(SUBSTITUTE(BH36,CHAR(160),""))),0),2)&lt;
ROUND(IFERROR(VALUE(TRIM(SUBSTITUTE(AB36,CHAR(160),""))),0),2),
"Attention : Montant présenté partiellement rejeté.",
TRUE,""
))</f>
        <v/>
      </c>
      <c r="BL36" s="773" t="str">
        <f t="shared" si="48"/>
        <v/>
      </c>
      <c r="BM36" s="773" t="str">
        <f t="shared" si="49"/>
        <v/>
      </c>
      <c r="BN36" s="773" t="str">
        <f t="shared" si="50"/>
        <v/>
      </c>
    </row>
    <row r="37" spans="1:66" ht="15" customHeight="1">
      <c r="A37" s="193">
        <v>33</v>
      </c>
      <c r="B37" s="7"/>
      <c r="C37" s="9"/>
      <c r="D37" s="30"/>
      <c r="E37" s="36"/>
      <c r="F37" s="34"/>
      <c r="G37" s="35"/>
      <c r="H37" s="685"/>
      <c r="I37" s="786"/>
      <c r="J37" s="792"/>
      <c r="K37" s="758"/>
      <c r="L37" s="761"/>
      <c r="M37" s="762"/>
      <c r="N37" s="808" t="str">
        <f t="shared" si="21"/>
        <v/>
      </c>
      <c r="O37" s="846"/>
      <c r="P37" s="847"/>
      <c r="Q37" s="762"/>
      <c r="R37" s="762"/>
      <c r="S37" s="808" t="str">
        <f t="shared" si="22"/>
        <v/>
      </c>
      <c r="T37" s="850"/>
      <c r="U37" s="847"/>
      <c r="V37" s="762"/>
      <c r="W37" s="762"/>
      <c r="X37" s="830" t="str">
        <f t="shared" si="23"/>
        <v/>
      </c>
      <c r="Y37" s="246"/>
      <c r="Z37" s="284" t="str" cm="1">
        <f t="array" ref="Z37">IF((_xlfn.IFS(TRIM(SUBSTITUTE(Y37,CHAR(160),""))="Devis 1",IFERROR(VALUE(TRIM(SUBSTITUTE(L37,CHAR(160),""))),0),TRIM(SUBSTITUTE(Y37,CHAR(160),""))="Devis 2",IFERROR(VALUE(TRIM(SUBSTITUTE(Q37,CHAR(160),""))),0),TRIM(SUBSTITUTE(Y37,CHAR(160),""))="Devis 3",IFERROR(VALUE(TRIM(SUBSTITUTE(V37,CHAR(160),""))),0),TRUE,0)*IFERROR(VALUE(TRIM(SUBSTITUTE(C37,CHAR(160),""))),0))=0,"",_xlfn.IFS(TRIM(SUBSTITUTE(Y37,CHAR(160),""))="Devis 1",IFERROR(VALUE(TRIM(SUBSTITUTE(L37,CHAR(160),""))),0),TRIM(SUBSTITUTE(Y37,CHAR(160),""))="Devis 2",IFERROR(VALUE(TRIM(SUBSTITUTE(Q37,CHAR(160),""))),0),TRIM(SUBSTITUTE(Y37,CHAR(160),""))="Devis 3",IFERROR(VALUE(TRIM(SUBSTITUTE(V37,CHAR(160),""))),0),TRUE,0)*IFERROR(VALUE(TRIM(SUBSTITUTE(C37,CHAR(160),""))),0))</f>
        <v/>
      </c>
      <c r="AA37" s="275" t="str" cm="1">
        <f t="array" ref="AA37">IF((_xlfn.IFS(TRIM(SUBSTITUTE(Y37,CHAR(160),""))="Devis 1",IFERROR(VALUE(TRIM(SUBSTITUTE(M37,CHAR(160),""))),0),TRIM(SUBSTITUTE(Y37,CHAR(160),""))="Devis 2",IFERROR(VALUE(TRIM(SUBSTITUTE(R37,CHAR(160),""))),0),TRIM(SUBSTITUTE(Y37,CHAR(160),""))="Devis 3",IFERROR(VALUE(TRIM(SUBSTITUTE(W37,CHAR(160),""))),0),TRUE,0)*IFERROR(VALUE(TRIM(SUBSTITUTE(C37,CHAR(160),""))),0))=0,IF(Z37&lt;&gt;"",0,""),_xlfn.IFS(TRIM(SUBSTITUTE(Y37,CHAR(160),""))="Devis 1",IFERROR(VALUE(TRIM(SUBSTITUTE(M37,CHAR(160),""))),0),TRIM(SUBSTITUTE(Y37,CHAR(160),""))="Devis 2",IFERROR(VALUE(TRIM(SUBSTITUTE(R37,CHAR(160),""))),0),TRIM(SUBSTITUTE(Y37,CHAR(160),""))="Devis 3",IFERROR(VALUE(TRIM(SUBSTITUTE(W37,CHAR(160),""))),0),TRUE,0)*IFERROR(VALUE(TRIM(SUBSTITUTE(C37,CHAR(160),""))),0))</f>
        <v/>
      </c>
      <c r="AB37" s="285" t="str">
        <f t="shared" si="24"/>
        <v/>
      </c>
      <c r="AC37" s="209"/>
      <c r="AD37" s="747" t="str">
        <f t="shared" si="51"/>
        <v/>
      </c>
      <c r="AE37" s="747" t="str">
        <f t="shared" si="52"/>
        <v/>
      </c>
      <c r="AF37" s="747" t="str">
        <f t="shared" si="53"/>
        <v/>
      </c>
      <c r="AG37" s="747" t="str">
        <f t="shared" si="54"/>
        <v/>
      </c>
      <c r="AH37" s="747" t="str">
        <f t="shared" si="55"/>
        <v/>
      </c>
      <c r="AI37" s="747" t="str">
        <f t="shared" si="25"/>
        <v/>
      </c>
      <c r="AJ37" s="747" t="str">
        <f t="shared" si="26"/>
        <v/>
      </c>
      <c r="AK37" s="776" t="str">
        <f t="shared" si="27"/>
        <v/>
      </c>
      <c r="AL37" s="802" t="str">
        <f t="shared" si="28"/>
        <v/>
      </c>
      <c r="AM37" s="747" t="str">
        <f t="shared" si="29"/>
        <v/>
      </c>
      <c r="AN37" s="771" t="str">
        <f t="shared" si="30"/>
        <v/>
      </c>
      <c r="AO37" s="771" t="str">
        <f t="shared" si="31"/>
        <v/>
      </c>
      <c r="AP37" s="808" t="str">
        <f t="shared" si="32"/>
        <v/>
      </c>
      <c r="AQ37" s="819" t="str">
        <f t="shared" si="33"/>
        <v/>
      </c>
      <c r="AR37" s="771" t="str">
        <f t="shared" si="34"/>
        <v/>
      </c>
      <c r="AS37" s="771" t="str">
        <f t="shared" si="35"/>
        <v/>
      </c>
      <c r="AT37" s="771" t="str">
        <f t="shared" si="36"/>
        <v/>
      </c>
      <c r="AU37" s="808" t="str">
        <f t="shared" si="37"/>
        <v/>
      </c>
      <c r="AV37" s="842" t="str">
        <f t="shared" si="38"/>
        <v/>
      </c>
      <c r="AW37" s="771" t="str">
        <f t="shared" si="39"/>
        <v/>
      </c>
      <c r="AX37" s="771" t="str">
        <f t="shared" si="40"/>
        <v/>
      </c>
      <c r="AY37" s="771" t="str">
        <f t="shared" si="41"/>
        <v/>
      </c>
      <c r="AZ37" s="831" t="str">
        <f t="shared" si="42"/>
        <v/>
      </c>
      <c r="BA37" s="835" t="str">
        <f t="shared" si="43"/>
        <v/>
      </c>
      <c r="BB37" s="772"/>
      <c r="BC37" s="275" t="str">
        <f t="shared" si="44"/>
        <v/>
      </c>
      <c r="BD37" s="275" t="str">
        <f t="shared" si="45"/>
        <v/>
      </c>
      <c r="BE37" s="886" t="str">
        <f t="shared" si="46"/>
        <v/>
      </c>
      <c r="BF37" s="873" t="str" cm="1">
        <f t="array" ref="BF37">IF($AE37="","",
_xlfn.IFS(
$BA37="Devis 1",
IF(ISBLANK(AN37),"",IFERROR(VALUE(TRIM(SUBSTITUTE(AN37,CHAR(160),""))),0)*IFERROR(VALUE(TRIM(SUBSTITUTE($AE37,CHAR(160),""))),0)),
$BA37="Devis 2",
IF(ISBLANK(AS37),"",IFERROR(VALUE(TRIM(SUBSTITUTE(AS37,CHAR(160),""))),0)*IFERROR(VALUE(TRIM(SUBSTITUTE($AE37,CHAR(160),""))),0)),
$BA37="Devis 3",
IF(ISBLANK(AX37),"",IFERROR(VALUE(TRIM(SUBSTITUTE(AX37,CHAR(160),""))),0)*IFERROR(VALUE(TRIM(SUBSTITUTE($AE37,CHAR(160),""))),0)),
TRUE,0
)
)</f>
        <v/>
      </c>
      <c r="BG37" s="873" t="str" cm="1">
        <f t="array" ref="BG37">IF($AE37="","",
_xlfn.IFS(
$BA37="Devis 1",
IF(ISBLANK(AO37),"",IFERROR(VALUE(TRIM(SUBSTITUTE(AO37,CHAR(160),""))),0)*IFERROR(VALUE(TRIM(SUBSTITUTE($AE37,CHAR(160),""))),0)),
$BA37="Devis 2",
IF(ISBLANK(AT37),"",IFERROR(VALUE(TRIM(SUBSTITUTE(AT37,CHAR(160),""))),0)*IFERROR(VALUE(TRIM(SUBSTITUTE($AE37,CHAR(160),""))),0)),
$BA37="Devis 3",
IF(ISBLANK(AY37),"",IFERROR(VALUE(TRIM(SUBSTITUTE(AY37,CHAR(160),""))),0)*IFERROR(VALUE(TRIM(SUBSTITUTE($AE37,CHAR(160),""))),0)),
TRUE,0
)
)</f>
        <v/>
      </c>
      <c r="BH37" s="874" t="str">
        <f t="shared" si="47"/>
        <v/>
      </c>
      <c r="BI37" s="866"/>
      <c r="BJ37" s="774" t="str" cm="1">
        <f t="array" ref="BJ37">IF(OR(BH37="",BE37="",BF37="",BC37="",BG37="",BD37=""),"",_xlfn.IFS(
ROUND(IFERROR(VALUE(TRIM(SUBSTITUTE(BH37,CHAR(160),""))),0),2)&gt;
ROUND(IFERROR(VALUE(TRIM(SUBSTITUTE(BE37,CHAR(160),""))),0),2),
"KO : Le montant retenu TTC est supérieur au montant raisonnable TTC. Merci de revoir la ligne de dépense ou plafonner son montant.",
ROUND(IFERROR(VALUE(TRIM(SUBSTITUTE(BF37,CHAR(160),""))),0),2)&gt;
ROUND(IFERROR(VALUE(TRIM(SUBSTITUTE(BC37,CHAR(160),""))),0),2),
"Attention : Le montant retenu HT est supérieur au montant HT raisonnable. Merci de revoir la ligne de dépense, plafonner son montant, ou justifier la reventillation HT / TVA.",
ROUND(IFERROR(VALUE(TRIM(SUBSTITUTE(BG37,CHAR(160),""))),0),2)&gt;
ROUND(IFERROR(VALUE(TRIM(SUBSTITUTE(BD37,CHAR(160),""))),0),2),
"Attention : Le montant TVA retenu est supérieur au montant TVA raisonnable. Merci de revoir la ligne de dépense, plafonner son montant, ou justifier la reventillation HT / TVA.",
ROUND(IFERROR(VALUE(TRIM(SUBSTITUTE(BH37,CHAR(160),""))),0),2)&gt;
ROUND(IFERROR(VALUE(TRIM(SUBSTITUTE(MIN(N37,S37,X37),CHAR(160),""))),0),2),
"Attention : Le devis retenu n'est pas le moins cher. Une justification de la part du porteur est nécessaire.",
ROUND(IFERROR(VALUE(TRIM(SUBSTITUTE(BH37,CHAR(160),""))),0),2)=0,
"Attention : montant présenté entièrement écarté",
ROUND(IFERROR(VALUE(TRIM(SUBSTITUTE(BE37,CHAR(160),""))),0),2)=
ROUND(IFERROR(VALUE(TRIM(SUBSTITUTE(BH37,CHAR(160),""))),0),2),
"OK",
ROUND(IFERROR(VALUE(TRIM(SUBSTITUTE(BE37,CHAR(160),""))),0),2)&gt;
ROUND(IFERROR(VALUE(TRIM(SUBSTITUTE(BH37,CHAR(160),""))),0),2),
" OK : Montant instruit inférieur au montant raisonnable.",
TRUE,""
))</f>
        <v/>
      </c>
      <c r="BK37" s="774" t="str" cm="1">
        <f t="array" ref="BK37">IF(OR(BH37="",AB37="",BF37="",Z37="",BG37="",AA37=""),"",_xlfn.IFS(
ROUND(IFERROR(VALUE(TRIM(SUBSTITUTE(BH37,CHAR(160),""))),0),2)&gt;
ROUND(IFERROR(VALUE(TRIM(SUBSTITUTE(AB37,CHAR(160),""))),0),2),
"KO : Le montant retenu TTC est supérieur au montant présenté TTC. Merci de revoir la ligne de dépense ou plafonner son montant.",
ROUND(IFERROR(VALUE(TRIM(SUBSTITUTE(BF37,CHAR(160),""))),0),2)&gt;
ROUND(IFERROR(VALUE(TRIM(SUBSTITUTE(Z37,CHAR(160),""))),0),2),
"Attention : Le montant retenu HT est supérieur au montant HT présenté. Merci de revoir la ligne de dépense, plafonner son montant, ou justifier la reventillation HT / TVA.",
ROUND(IFERROR(VALUE(TRIM(SUBSTITUTE(BG37,CHAR(160),""))),0),2)&gt;
ROUND(IFERROR(VALUE(TRIM(SUBSTITUTE(AA37,CHAR(160),""))),0),2),
"Attention : Le montant TVA retenu est supérieur au montant TVA présenté. Merci de revoir la ligne de dépense, plafonner son montant, ou justifier la reventillation HT / TVA.",
ROUND(IFERROR(VALUE(TRIM(SUBSTITUTE(AB37,CHAR(160),""))),0),2)=0,
"",
ROUND(IFERROR(VALUE(TRIM(SUBSTITUTE(BH37,CHAR(160),""))),0),2)=
ROUND(IFERROR(VALUE(TRIM(SUBSTITUTE(AB37,CHAR(160),""))),0),2),
"OK",
ROUND(IFERROR(VALUE(TRIM(SUBSTITUTE(BH37,CHAR(160),""))),0),2)=0,
"Attention : Montant présenté entièrement rejeté.",
ROUND(IFERROR(VALUE(TRIM(SUBSTITUTE(BH37,CHAR(160),""))),0),2)&lt;
ROUND(IFERROR(VALUE(TRIM(SUBSTITUTE(AB37,CHAR(160),""))),0),2),
"Attention : Montant présenté partiellement rejeté.",
TRUE,""
))</f>
        <v/>
      </c>
      <c r="BL37" s="773" t="str">
        <f t="shared" si="48"/>
        <v/>
      </c>
      <c r="BM37" s="773" t="str">
        <f t="shared" si="49"/>
        <v/>
      </c>
      <c r="BN37" s="773" t="str">
        <f t="shared" si="50"/>
        <v/>
      </c>
    </row>
    <row r="38" spans="1:66" ht="15" customHeight="1">
      <c r="A38" s="193">
        <v>34</v>
      </c>
      <c r="B38" s="7"/>
      <c r="C38" s="9"/>
      <c r="D38" s="30"/>
      <c r="E38" s="36"/>
      <c r="F38" s="34"/>
      <c r="G38" s="35"/>
      <c r="H38" s="685"/>
      <c r="I38" s="786"/>
      <c r="J38" s="792"/>
      <c r="K38" s="758"/>
      <c r="L38" s="761"/>
      <c r="M38" s="762"/>
      <c r="N38" s="808" t="str">
        <f t="shared" si="21"/>
        <v/>
      </c>
      <c r="O38" s="846"/>
      <c r="P38" s="847"/>
      <c r="Q38" s="762"/>
      <c r="R38" s="762"/>
      <c r="S38" s="808" t="str">
        <f t="shared" si="22"/>
        <v/>
      </c>
      <c r="T38" s="850"/>
      <c r="U38" s="847"/>
      <c r="V38" s="762"/>
      <c r="W38" s="762"/>
      <c r="X38" s="830" t="str">
        <f t="shared" si="23"/>
        <v/>
      </c>
      <c r="Y38" s="246"/>
      <c r="Z38" s="284" t="str" cm="1">
        <f t="array" ref="Z38">IF((_xlfn.IFS(TRIM(SUBSTITUTE(Y38,CHAR(160),""))="Devis 1",IFERROR(VALUE(TRIM(SUBSTITUTE(L38,CHAR(160),""))),0),TRIM(SUBSTITUTE(Y38,CHAR(160),""))="Devis 2",IFERROR(VALUE(TRIM(SUBSTITUTE(Q38,CHAR(160),""))),0),TRIM(SUBSTITUTE(Y38,CHAR(160),""))="Devis 3",IFERROR(VALUE(TRIM(SUBSTITUTE(V38,CHAR(160),""))),0),TRUE,0)*IFERROR(VALUE(TRIM(SUBSTITUTE(C38,CHAR(160),""))),0))=0,"",_xlfn.IFS(TRIM(SUBSTITUTE(Y38,CHAR(160),""))="Devis 1",IFERROR(VALUE(TRIM(SUBSTITUTE(L38,CHAR(160),""))),0),TRIM(SUBSTITUTE(Y38,CHAR(160),""))="Devis 2",IFERROR(VALUE(TRIM(SUBSTITUTE(Q38,CHAR(160),""))),0),TRIM(SUBSTITUTE(Y38,CHAR(160),""))="Devis 3",IFERROR(VALUE(TRIM(SUBSTITUTE(V38,CHAR(160),""))),0),TRUE,0)*IFERROR(VALUE(TRIM(SUBSTITUTE(C38,CHAR(160),""))),0))</f>
        <v/>
      </c>
      <c r="AA38" s="275" t="str" cm="1">
        <f t="array" ref="AA38">IF((_xlfn.IFS(TRIM(SUBSTITUTE(Y38,CHAR(160),""))="Devis 1",IFERROR(VALUE(TRIM(SUBSTITUTE(M38,CHAR(160),""))),0),TRIM(SUBSTITUTE(Y38,CHAR(160),""))="Devis 2",IFERROR(VALUE(TRIM(SUBSTITUTE(R38,CHAR(160),""))),0),TRIM(SUBSTITUTE(Y38,CHAR(160),""))="Devis 3",IFERROR(VALUE(TRIM(SUBSTITUTE(W38,CHAR(160),""))),0),TRUE,0)*IFERROR(VALUE(TRIM(SUBSTITUTE(C38,CHAR(160),""))),0))=0,IF(Z38&lt;&gt;"",0,""),_xlfn.IFS(TRIM(SUBSTITUTE(Y38,CHAR(160),""))="Devis 1",IFERROR(VALUE(TRIM(SUBSTITUTE(M38,CHAR(160),""))),0),TRIM(SUBSTITUTE(Y38,CHAR(160),""))="Devis 2",IFERROR(VALUE(TRIM(SUBSTITUTE(R38,CHAR(160),""))),0),TRIM(SUBSTITUTE(Y38,CHAR(160),""))="Devis 3",IFERROR(VALUE(TRIM(SUBSTITUTE(W38,CHAR(160),""))),0),TRUE,0)*IFERROR(VALUE(TRIM(SUBSTITUTE(C38,CHAR(160),""))),0))</f>
        <v/>
      </c>
      <c r="AB38" s="285" t="str">
        <f t="shared" si="24"/>
        <v/>
      </c>
      <c r="AC38" s="209"/>
      <c r="AD38" s="747" t="str">
        <f t="shared" si="51"/>
        <v/>
      </c>
      <c r="AE38" s="747" t="str">
        <f t="shared" si="52"/>
        <v/>
      </c>
      <c r="AF38" s="747" t="str">
        <f t="shared" si="53"/>
        <v/>
      </c>
      <c r="AG38" s="747" t="str">
        <f t="shared" si="54"/>
        <v/>
      </c>
      <c r="AH38" s="747" t="str">
        <f t="shared" si="55"/>
        <v/>
      </c>
      <c r="AI38" s="747" t="str">
        <f t="shared" si="25"/>
        <v/>
      </c>
      <c r="AJ38" s="747" t="str">
        <f t="shared" si="26"/>
        <v/>
      </c>
      <c r="AK38" s="776" t="str">
        <f t="shared" si="27"/>
        <v/>
      </c>
      <c r="AL38" s="802" t="str">
        <f t="shared" si="28"/>
        <v/>
      </c>
      <c r="AM38" s="747" t="str">
        <f t="shared" si="29"/>
        <v/>
      </c>
      <c r="AN38" s="771" t="str">
        <f t="shared" si="30"/>
        <v/>
      </c>
      <c r="AO38" s="771" t="str">
        <f t="shared" si="31"/>
        <v/>
      </c>
      <c r="AP38" s="808" t="str">
        <f t="shared" si="32"/>
        <v/>
      </c>
      <c r="AQ38" s="819" t="str">
        <f t="shared" si="33"/>
        <v/>
      </c>
      <c r="AR38" s="771" t="str">
        <f t="shared" si="34"/>
        <v/>
      </c>
      <c r="AS38" s="771" t="str">
        <f t="shared" si="35"/>
        <v/>
      </c>
      <c r="AT38" s="771" t="str">
        <f t="shared" si="36"/>
        <v/>
      </c>
      <c r="AU38" s="808" t="str">
        <f t="shared" si="37"/>
        <v/>
      </c>
      <c r="AV38" s="842" t="str">
        <f t="shared" si="38"/>
        <v/>
      </c>
      <c r="AW38" s="771" t="str">
        <f t="shared" si="39"/>
        <v/>
      </c>
      <c r="AX38" s="771" t="str">
        <f t="shared" si="40"/>
        <v/>
      </c>
      <c r="AY38" s="771" t="str">
        <f t="shared" si="41"/>
        <v/>
      </c>
      <c r="AZ38" s="831" t="str">
        <f t="shared" si="42"/>
        <v/>
      </c>
      <c r="BA38" s="835" t="str">
        <f t="shared" si="43"/>
        <v/>
      </c>
      <c r="BB38" s="772"/>
      <c r="BC38" s="275" t="str">
        <f t="shared" si="44"/>
        <v/>
      </c>
      <c r="BD38" s="275" t="str">
        <f t="shared" si="45"/>
        <v/>
      </c>
      <c r="BE38" s="886" t="str">
        <f t="shared" si="46"/>
        <v/>
      </c>
      <c r="BF38" s="873" t="str" cm="1">
        <f t="array" ref="BF38">IF($AE38="","",
_xlfn.IFS(
$BA38="Devis 1",
IF(ISBLANK(AN38),"",IFERROR(VALUE(TRIM(SUBSTITUTE(AN38,CHAR(160),""))),0)*IFERROR(VALUE(TRIM(SUBSTITUTE($AE38,CHAR(160),""))),0)),
$BA38="Devis 2",
IF(ISBLANK(AS38),"",IFERROR(VALUE(TRIM(SUBSTITUTE(AS38,CHAR(160),""))),0)*IFERROR(VALUE(TRIM(SUBSTITUTE($AE38,CHAR(160),""))),0)),
$BA38="Devis 3",
IF(ISBLANK(AX38),"",IFERROR(VALUE(TRIM(SUBSTITUTE(AX38,CHAR(160),""))),0)*IFERROR(VALUE(TRIM(SUBSTITUTE($AE38,CHAR(160),""))),0)),
TRUE,0
)
)</f>
        <v/>
      </c>
      <c r="BG38" s="873" t="str" cm="1">
        <f t="array" ref="BG38">IF($AE38="","",
_xlfn.IFS(
$BA38="Devis 1",
IF(ISBLANK(AO38),"",IFERROR(VALUE(TRIM(SUBSTITUTE(AO38,CHAR(160),""))),0)*IFERROR(VALUE(TRIM(SUBSTITUTE($AE38,CHAR(160),""))),0)),
$BA38="Devis 2",
IF(ISBLANK(AT38),"",IFERROR(VALUE(TRIM(SUBSTITUTE(AT38,CHAR(160),""))),0)*IFERROR(VALUE(TRIM(SUBSTITUTE($AE38,CHAR(160),""))),0)),
$BA38="Devis 3",
IF(ISBLANK(AY38),"",IFERROR(VALUE(TRIM(SUBSTITUTE(AY38,CHAR(160),""))),0)*IFERROR(VALUE(TRIM(SUBSTITUTE($AE38,CHAR(160),""))),0)),
TRUE,0
)
)</f>
        <v/>
      </c>
      <c r="BH38" s="874" t="str">
        <f t="shared" si="47"/>
        <v/>
      </c>
      <c r="BI38" s="866"/>
      <c r="BJ38" s="774" t="str" cm="1">
        <f t="array" ref="BJ38">IF(OR(BH38="",BE38="",BF38="",BC38="",BG38="",BD38=""),"",_xlfn.IFS(
ROUND(IFERROR(VALUE(TRIM(SUBSTITUTE(BH38,CHAR(160),""))),0),2)&gt;
ROUND(IFERROR(VALUE(TRIM(SUBSTITUTE(BE38,CHAR(160),""))),0),2),
"KO : Le montant retenu TTC est supérieur au montant raisonnable TTC. Merci de revoir la ligne de dépense ou plafonner son montant.",
ROUND(IFERROR(VALUE(TRIM(SUBSTITUTE(BF38,CHAR(160),""))),0),2)&gt;
ROUND(IFERROR(VALUE(TRIM(SUBSTITUTE(BC38,CHAR(160),""))),0),2),
"Attention : Le montant retenu HT est supérieur au montant HT raisonnable. Merci de revoir la ligne de dépense, plafonner son montant, ou justifier la reventillation HT / TVA.",
ROUND(IFERROR(VALUE(TRIM(SUBSTITUTE(BG38,CHAR(160),""))),0),2)&gt;
ROUND(IFERROR(VALUE(TRIM(SUBSTITUTE(BD38,CHAR(160),""))),0),2),
"Attention : Le montant TVA retenu est supérieur au montant TVA raisonnable. Merci de revoir la ligne de dépense, plafonner son montant, ou justifier la reventillation HT / TVA.",
ROUND(IFERROR(VALUE(TRIM(SUBSTITUTE(BH38,CHAR(160),""))),0),2)&gt;
ROUND(IFERROR(VALUE(TRIM(SUBSTITUTE(MIN(N38,S38,X38),CHAR(160),""))),0),2),
"Attention : Le devis retenu n'est pas le moins cher. Une justification de la part du porteur est nécessaire.",
ROUND(IFERROR(VALUE(TRIM(SUBSTITUTE(BH38,CHAR(160),""))),0),2)=0,
"Attention : montant présenté entièrement écarté",
ROUND(IFERROR(VALUE(TRIM(SUBSTITUTE(BE38,CHAR(160),""))),0),2)=
ROUND(IFERROR(VALUE(TRIM(SUBSTITUTE(BH38,CHAR(160),""))),0),2),
"OK",
ROUND(IFERROR(VALUE(TRIM(SUBSTITUTE(BE38,CHAR(160),""))),0),2)&gt;
ROUND(IFERROR(VALUE(TRIM(SUBSTITUTE(BH38,CHAR(160),""))),0),2),
" OK : Montant instruit inférieur au montant raisonnable.",
TRUE,""
))</f>
        <v/>
      </c>
      <c r="BK38" s="774" t="str" cm="1">
        <f t="array" ref="BK38">IF(OR(BH38="",AB38="",BF38="",Z38="",BG38="",AA38=""),"",_xlfn.IFS(
ROUND(IFERROR(VALUE(TRIM(SUBSTITUTE(BH38,CHAR(160),""))),0),2)&gt;
ROUND(IFERROR(VALUE(TRIM(SUBSTITUTE(AB38,CHAR(160),""))),0),2),
"KO : Le montant retenu TTC est supérieur au montant présenté TTC. Merci de revoir la ligne de dépense ou plafonner son montant.",
ROUND(IFERROR(VALUE(TRIM(SUBSTITUTE(BF38,CHAR(160),""))),0),2)&gt;
ROUND(IFERROR(VALUE(TRIM(SUBSTITUTE(Z38,CHAR(160),""))),0),2),
"Attention : Le montant retenu HT est supérieur au montant HT présenté. Merci de revoir la ligne de dépense, plafonner son montant, ou justifier la reventillation HT / TVA.",
ROUND(IFERROR(VALUE(TRIM(SUBSTITUTE(BG38,CHAR(160),""))),0),2)&gt;
ROUND(IFERROR(VALUE(TRIM(SUBSTITUTE(AA38,CHAR(160),""))),0),2),
"Attention : Le montant TVA retenu est supérieur au montant TVA présenté. Merci de revoir la ligne de dépense, plafonner son montant, ou justifier la reventillation HT / TVA.",
ROUND(IFERROR(VALUE(TRIM(SUBSTITUTE(AB38,CHAR(160),""))),0),2)=0,
"",
ROUND(IFERROR(VALUE(TRIM(SUBSTITUTE(BH38,CHAR(160),""))),0),2)=
ROUND(IFERROR(VALUE(TRIM(SUBSTITUTE(AB38,CHAR(160),""))),0),2),
"OK",
ROUND(IFERROR(VALUE(TRIM(SUBSTITUTE(BH38,CHAR(160),""))),0),2)=0,
"Attention : Montant présenté entièrement rejeté.",
ROUND(IFERROR(VALUE(TRIM(SUBSTITUTE(BH38,CHAR(160),""))),0),2)&lt;
ROUND(IFERROR(VALUE(TRIM(SUBSTITUTE(AB38,CHAR(160),""))),0),2),
"Attention : Montant présenté partiellement rejeté.",
TRUE,""
))</f>
        <v/>
      </c>
      <c r="BL38" s="773" t="str">
        <f t="shared" si="48"/>
        <v/>
      </c>
      <c r="BM38" s="773" t="str">
        <f t="shared" si="49"/>
        <v/>
      </c>
      <c r="BN38" s="773" t="str">
        <f t="shared" si="50"/>
        <v/>
      </c>
    </row>
    <row r="39" spans="1:66" ht="15" customHeight="1">
      <c r="A39" s="193">
        <v>35</v>
      </c>
      <c r="B39" s="7"/>
      <c r="C39" s="9"/>
      <c r="D39" s="30"/>
      <c r="E39" s="36"/>
      <c r="F39" s="34"/>
      <c r="G39" s="35"/>
      <c r="H39" s="685"/>
      <c r="I39" s="786"/>
      <c r="J39" s="792"/>
      <c r="K39" s="758"/>
      <c r="L39" s="761"/>
      <c r="M39" s="762"/>
      <c r="N39" s="808" t="str">
        <f t="shared" si="21"/>
        <v/>
      </c>
      <c r="O39" s="846"/>
      <c r="P39" s="847"/>
      <c r="Q39" s="762"/>
      <c r="R39" s="762"/>
      <c r="S39" s="808" t="str">
        <f t="shared" si="22"/>
        <v/>
      </c>
      <c r="T39" s="850"/>
      <c r="U39" s="847"/>
      <c r="V39" s="762"/>
      <c r="W39" s="762"/>
      <c r="X39" s="830" t="str">
        <f t="shared" si="23"/>
        <v/>
      </c>
      <c r="Y39" s="246"/>
      <c r="Z39" s="284" t="str" cm="1">
        <f t="array" ref="Z39">IF((_xlfn.IFS(TRIM(SUBSTITUTE(Y39,CHAR(160),""))="Devis 1",IFERROR(VALUE(TRIM(SUBSTITUTE(L39,CHAR(160),""))),0),TRIM(SUBSTITUTE(Y39,CHAR(160),""))="Devis 2",IFERROR(VALUE(TRIM(SUBSTITUTE(Q39,CHAR(160),""))),0),TRIM(SUBSTITUTE(Y39,CHAR(160),""))="Devis 3",IFERROR(VALUE(TRIM(SUBSTITUTE(V39,CHAR(160),""))),0),TRUE,0)*IFERROR(VALUE(TRIM(SUBSTITUTE(C39,CHAR(160),""))),0))=0,"",_xlfn.IFS(TRIM(SUBSTITUTE(Y39,CHAR(160),""))="Devis 1",IFERROR(VALUE(TRIM(SUBSTITUTE(L39,CHAR(160),""))),0),TRIM(SUBSTITUTE(Y39,CHAR(160),""))="Devis 2",IFERROR(VALUE(TRIM(SUBSTITUTE(Q39,CHAR(160),""))),0),TRIM(SUBSTITUTE(Y39,CHAR(160),""))="Devis 3",IFERROR(VALUE(TRIM(SUBSTITUTE(V39,CHAR(160),""))),0),TRUE,0)*IFERROR(VALUE(TRIM(SUBSTITUTE(C39,CHAR(160),""))),0))</f>
        <v/>
      </c>
      <c r="AA39" s="275" t="str" cm="1">
        <f t="array" ref="AA39">IF((_xlfn.IFS(TRIM(SUBSTITUTE(Y39,CHAR(160),""))="Devis 1",IFERROR(VALUE(TRIM(SUBSTITUTE(M39,CHAR(160),""))),0),TRIM(SUBSTITUTE(Y39,CHAR(160),""))="Devis 2",IFERROR(VALUE(TRIM(SUBSTITUTE(R39,CHAR(160),""))),0),TRIM(SUBSTITUTE(Y39,CHAR(160),""))="Devis 3",IFERROR(VALUE(TRIM(SUBSTITUTE(W39,CHAR(160),""))),0),TRUE,0)*IFERROR(VALUE(TRIM(SUBSTITUTE(C39,CHAR(160),""))),0))=0,IF(Z39&lt;&gt;"",0,""),_xlfn.IFS(TRIM(SUBSTITUTE(Y39,CHAR(160),""))="Devis 1",IFERROR(VALUE(TRIM(SUBSTITUTE(M39,CHAR(160),""))),0),TRIM(SUBSTITUTE(Y39,CHAR(160),""))="Devis 2",IFERROR(VALUE(TRIM(SUBSTITUTE(R39,CHAR(160),""))),0),TRIM(SUBSTITUTE(Y39,CHAR(160),""))="Devis 3",IFERROR(VALUE(TRIM(SUBSTITUTE(W39,CHAR(160),""))),0),TRUE,0)*IFERROR(VALUE(TRIM(SUBSTITUTE(C39,CHAR(160),""))),0))</f>
        <v/>
      </c>
      <c r="AB39" s="285" t="str">
        <f t="shared" si="24"/>
        <v/>
      </c>
      <c r="AC39" s="209"/>
      <c r="AD39" s="747" t="str">
        <f t="shared" si="51"/>
        <v/>
      </c>
      <c r="AE39" s="747" t="str">
        <f t="shared" si="52"/>
        <v/>
      </c>
      <c r="AF39" s="747" t="str">
        <f t="shared" si="53"/>
        <v/>
      </c>
      <c r="AG39" s="747" t="str">
        <f t="shared" si="54"/>
        <v/>
      </c>
      <c r="AH39" s="747" t="str">
        <f t="shared" si="55"/>
        <v/>
      </c>
      <c r="AI39" s="747" t="str">
        <f t="shared" si="25"/>
        <v/>
      </c>
      <c r="AJ39" s="747" t="str">
        <f t="shared" si="26"/>
        <v/>
      </c>
      <c r="AK39" s="776" t="str">
        <f t="shared" si="27"/>
        <v/>
      </c>
      <c r="AL39" s="802" t="str">
        <f t="shared" si="28"/>
        <v/>
      </c>
      <c r="AM39" s="747" t="str">
        <f t="shared" si="29"/>
        <v/>
      </c>
      <c r="AN39" s="771" t="str">
        <f t="shared" si="30"/>
        <v/>
      </c>
      <c r="AO39" s="771" t="str">
        <f t="shared" si="31"/>
        <v/>
      </c>
      <c r="AP39" s="808" t="str">
        <f t="shared" si="32"/>
        <v/>
      </c>
      <c r="AQ39" s="819" t="str">
        <f t="shared" si="33"/>
        <v/>
      </c>
      <c r="AR39" s="771" t="str">
        <f t="shared" si="34"/>
        <v/>
      </c>
      <c r="AS39" s="771" t="str">
        <f t="shared" si="35"/>
        <v/>
      </c>
      <c r="AT39" s="771" t="str">
        <f t="shared" si="36"/>
        <v/>
      </c>
      <c r="AU39" s="808" t="str">
        <f t="shared" si="37"/>
        <v/>
      </c>
      <c r="AV39" s="842" t="str">
        <f t="shared" si="38"/>
        <v/>
      </c>
      <c r="AW39" s="771" t="str">
        <f t="shared" si="39"/>
        <v/>
      </c>
      <c r="AX39" s="771" t="str">
        <f t="shared" si="40"/>
        <v/>
      </c>
      <c r="AY39" s="771" t="str">
        <f t="shared" si="41"/>
        <v/>
      </c>
      <c r="AZ39" s="831" t="str">
        <f t="shared" si="42"/>
        <v/>
      </c>
      <c r="BA39" s="835" t="str">
        <f t="shared" si="43"/>
        <v/>
      </c>
      <c r="BB39" s="772"/>
      <c r="BC39" s="275" t="str">
        <f t="shared" si="44"/>
        <v/>
      </c>
      <c r="BD39" s="275" t="str">
        <f t="shared" si="45"/>
        <v/>
      </c>
      <c r="BE39" s="886" t="str">
        <f t="shared" si="46"/>
        <v/>
      </c>
      <c r="BF39" s="873" t="str" cm="1">
        <f t="array" ref="BF39">IF($AE39="","",
_xlfn.IFS(
$BA39="Devis 1",
IF(ISBLANK(AN39),"",IFERROR(VALUE(TRIM(SUBSTITUTE(AN39,CHAR(160),""))),0)*IFERROR(VALUE(TRIM(SUBSTITUTE($AE39,CHAR(160),""))),0)),
$BA39="Devis 2",
IF(ISBLANK(AS39),"",IFERROR(VALUE(TRIM(SUBSTITUTE(AS39,CHAR(160),""))),0)*IFERROR(VALUE(TRIM(SUBSTITUTE($AE39,CHAR(160),""))),0)),
$BA39="Devis 3",
IF(ISBLANK(AX39),"",IFERROR(VALUE(TRIM(SUBSTITUTE(AX39,CHAR(160),""))),0)*IFERROR(VALUE(TRIM(SUBSTITUTE($AE39,CHAR(160),""))),0)),
TRUE,0
)
)</f>
        <v/>
      </c>
      <c r="BG39" s="873" t="str" cm="1">
        <f t="array" ref="BG39">IF($AE39="","",
_xlfn.IFS(
$BA39="Devis 1",
IF(ISBLANK(AO39),"",IFERROR(VALUE(TRIM(SUBSTITUTE(AO39,CHAR(160),""))),0)*IFERROR(VALUE(TRIM(SUBSTITUTE($AE39,CHAR(160),""))),0)),
$BA39="Devis 2",
IF(ISBLANK(AT39),"",IFERROR(VALUE(TRIM(SUBSTITUTE(AT39,CHAR(160),""))),0)*IFERROR(VALUE(TRIM(SUBSTITUTE($AE39,CHAR(160),""))),0)),
$BA39="Devis 3",
IF(ISBLANK(AY39),"",IFERROR(VALUE(TRIM(SUBSTITUTE(AY39,CHAR(160),""))),0)*IFERROR(VALUE(TRIM(SUBSTITUTE($AE39,CHAR(160),""))),0)),
TRUE,0
)
)</f>
        <v/>
      </c>
      <c r="BH39" s="874" t="str">
        <f t="shared" si="47"/>
        <v/>
      </c>
      <c r="BI39" s="866"/>
      <c r="BJ39" s="774" t="str" cm="1">
        <f t="array" ref="BJ39">IF(OR(BH39="",BE39="",BF39="",BC39="",BG39="",BD39=""),"",_xlfn.IFS(
ROUND(IFERROR(VALUE(TRIM(SUBSTITUTE(BH39,CHAR(160),""))),0),2)&gt;
ROUND(IFERROR(VALUE(TRIM(SUBSTITUTE(BE39,CHAR(160),""))),0),2),
"KO : Le montant retenu TTC est supérieur au montant raisonnable TTC. Merci de revoir la ligne de dépense ou plafonner son montant.",
ROUND(IFERROR(VALUE(TRIM(SUBSTITUTE(BF39,CHAR(160),""))),0),2)&gt;
ROUND(IFERROR(VALUE(TRIM(SUBSTITUTE(BC39,CHAR(160),""))),0),2),
"Attention : Le montant retenu HT est supérieur au montant HT raisonnable. Merci de revoir la ligne de dépense, plafonner son montant, ou justifier la reventillation HT / TVA.",
ROUND(IFERROR(VALUE(TRIM(SUBSTITUTE(BG39,CHAR(160),""))),0),2)&gt;
ROUND(IFERROR(VALUE(TRIM(SUBSTITUTE(BD39,CHAR(160),""))),0),2),
"Attention : Le montant TVA retenu est supérieur au montant TVA raisonnable. Merci de revoir la ligne de dépense, plafonner son montant, ou justifier la reventillation HT / TVA.",
ROUND(IFERROR(VALUE(TRIM(SUBSTITUTE(BH39,CHAR(160),""))),0),2)&gt;
ROUND(IFERROR(VALUE(TRIM(SUBSTITUTE(MIN(N39,S39,X39),CHAR(160),""))),0),2),
"Attention : Le devis retenu n'est pas le moins cher. Une justification de la part du porteur est nécessaire.",
ROUND(IFERROR(VALUE(TRIM(SUBSTITUTE(BH39,CHAR(160),""))),0),2)=0,
"Attention : montant présenté entièrement écarté",
ROUND(IFERROR(VALUE(TRIM(SUBSTITUTE(BE39,CHAR(160),""))),0),2)=
ROUND(IFERROR(VALUE(TRIM(SUBSTITUTE(BH39,CHAR(160),""))),0),2),
"OK",
ROUND(IFERROR(VALUE(TRIM(SUBSTITUTE(BE39,CHAR(160),""))),0),2)&gt;
ROUND(IFERROR(VALUE(TRIM(SUBSTITUTE(BH39,CHAR(160),""))),0),2),
" OK : Montant instruit inférieur au montant raisonnable.",
TRUE,""
))</f>
        <v/>
      </c>
      <c r="BK39" s="774" t="str" cm="1">
        <f t="array" ref="BK39">IF(OR(BH39="",AB39="",BF39="",Z39="",BG39="",AA39=""),"",_xlfn.IFS(
ROUND(IFERROR(VALUE(TRIM(SUBSTITUTE(BH39,CHAR(160),""))),0),2)&gt;
ROUND(IFERROR(VALUE(TRIM(SUBSTITUTE(AB39,CHAR(160),""))),0),2),
"KO : Le montant retenu TTC est supérieur au montant présenté TTC. Merci de revoir la ligne de dépense ou plafonner son montant.",
ROUND(IFERROR(VALUE(TRIM(SUBSTITUTE(BF39,CHAR(160),""))),0),2)&gt;
ROUND(IFERROR(VALUE(TRIM(SUBSTITUTE(Z39,CHAR(160),""))),0),2),
"Attention : Le montant retenu HT est supérieur au montant HT présenté. Merci de revoir la ligne de dépense, plafonner son montant, ou justifier la reventillation HT / TVA.",
ROUND(IFERROR(VALUE(TRIM(SUBSTITUTE(BG39,CHAR(160),""))),0),2)&gt;
ROUND(IFERROR(VALUE(TRIM(SUBSTITUTE(AA39,CHAR(160),""))),0),2),
"Attention : Le montant TVA retenu est supérieur au montant TVA présenté. Merci de revoir la ligne de dépense, plafonner son montant, ou justifier la reventillation HT / TVA.",
ROUND(IFERROR(VALUE(TRIM(SUBSTITUTE(AB39,CHAR(160),""))),0),2)=0,
"",
ROUND(IFERROR(VALUE(TRIM(SUBSTITUTE(BH39,CHAR(160),""))),0),2)=
ROUND(IFERROR(VALUE(TRIM(SUBSTITUTE(AB39,CHAR(160),""))),0),2),
"OK",
ROUND(IFERROR(VALUE(TRIM(SUBSTITUTE(BH39,CHAR(160),""))),0),2)=0,
"Attention : Montant présenté entièrement rejeté.",
ROUND(IFERROR(VALUE(TRIM(SUBSTITUTE(BH39,CHAR(160),""))),0),2)&lt;
ROUND(IFERROR(VALUE(TRIM(SUBSTITUTE(AB39,CHAR(160),""))),0),2),
"Attention : Montant présenté partiellement rejeté.",
TRUE,""
))</f>
        <v/>
      </c>
      <c r="BL39" s="773" t="str">
        <f t="shared" si="48"/>
        <v/>
      </c>
      <c r="BM39" s="773" t="str">
        <f t="shared" si="49"/>
        <v/>
      </c>
      <c r="BN39" s="773" t="str">
        <f t="shared" si="50"/>
        <v/>
      </c>
    </row>
    <row r="40" spans="1:66" ht="15" customHeight="1">
      <c r="A40" s="193">
        <v>36</v>
      </c>
      <c r="B40" s="7"/>
      <c r="C40" s="9"/>
      <c r="D40" s="30"/>
      <c r="E40" s="36"/>
      <c r="F40" s="34"/>
      <c r="G40" s="35"/>
      <c r="H40" s="685"/>
      <c r="I40" s="786"/>
      <c r="J40" s="792"/>
      <c r="K40" s="758"/>
      <c r="L40" s="761"/>
      <c r="M40" s="762"/>
      <c r="N40" s="808" t="str">
        <f t="shared" si="21"/>
        <v/>
      </c>
      <c r="O40" s="846"/>
      <c r="P40" s="847"/>
      <c r="Q40" s="762"/>
      <c r="R40" s="762"/>
      <c r="S40" s="808" t="str">
        <f t="shared" si="22"/>
        <v/>
      </c>
      <c r="T40" s="850"/>
      <c r="U40" s="847"/>
      <c r="V40" s="762"/>
      <c r="W40" s="762"/>
      <c r="X40" s="830" t="str">
        <f t="shared" si="23"/>
        <v/>
      </c>
      <c r="Y40" s="246"/>
      <c r="Z40" s="284" t="str" cm="1">
        <f t="array" ref="Z40">IF((_xlfn.IFS(TRIM(SUBSTITUTE(Y40,CHAR(160),""))="Devis 1",IFERROR(VALUE(TRIM(SUBSTITUTE(L40,CHAR(160),""))),0),TRIM(SUBSTITUTE(Y40,CHAR(160),""))="Devis 2",IFERROR(VALUE(TRIM(SUBSTITUTE(Q40,CHAR(160),""))),0),TRIM(SUBSTITUTE(Y40,CHAR(160),""))="Devis 3",IFERROR(VALUE(TRIM(SUBSTITUTE(V40,CHAR(160),""))),0),TRUE,0)*IFERROR(VALUE(TRIM(SUBSTITUTE(C40,CHAR(160),""))),0))=0,"",_xlfn.IFS(TRIM(SUBSTITUTE(Y40,CHAR(160),""))="Devis 1",IFERROR(VALUE(TRIM(SUBSTITUTE(L40,CHAR(160),""))),0),TRIM(SUBSTITUTE(Y40,CHAR(160),""))="Devis 2",IFERROR(VALUE(TRIM(SUBSTITUTE(Q40,CHAR(160),""))),0),TRIM(SUBSTITUTE(Y40,CHAR(160),""))="Devis 3",IFERROR(VALUE(TRIM(SUBSTITUTE(V40,CHAR(160),""))),0),TRUE,0)*IFERROR(VALUE(TRIM(SUBSTITUTE(C40,CHAR(160),""))),0))</f>
        <v/>
      </c>
      <c r="AA40" s="275" t="str" cm="1">
        <f t="array" ref="AA40">IF((_xlfn.IFS(TRIM(SUBSTITUTE(Y40,CHAR(160),""))="Devis 1",IFERROR(VALUE(TRIM(SUBSTITUTE(M40,CHAR(160),""))),0),TRIM(SUBSTITUTE(Y40,CHAR(160),""))="Devis 2",IFERROR(VALUE(TRIM(SUBSTITUTE(R40,CHAR(160),""))),0),TRIM(SUBSTITUTE(Y40,CHAR(160),""))="Devis 3",IFERROR(VALUE(TRIM(SUBSTITUTE(W40,CHAR(160),""))),0),TRUE,0)*IFERROR(VALUE(TRIM(SUBSTITUTE(C40,CHAR(160),""))),0))=0,IF(Z40&lt;&gt;"",0,""),_xlfn.IFS(TRIM(SUBSTITUTE(Y40,CHAR(160),""))="Devis 1",IFERROR(VALUE(TRIM(SUBSTITUTE(M40,CHAR(160),""))),0),TRIM(SUBSTITUTE(Y40,CHAR(160),""))="Devis 2",IFERROR(VALUE(TRIM(SUBSTITUTE(R40,CHAR(160),""))),0),TRIM(SUBSTITUTE(Y40,CHAR(160),""))="Devis 3",IFERROR(VALUE(TRIM(SUBSTITUTE(W40,CHAR(160),""))),0),TRUE,0)*IFERROR(VALUE(TRIM(SUBSTITUTE(C40,CHAR(160),""))),0))</f>
        <v/>
      </c>
      <c r="AB40" s="285" t="str">
        <f t="shared" si="24"/>
        <v/>
      </c>
      <c r="AC40" s="209"/>
      <c r="AD40" s="747" t="str">
        <f t="shared" si="51"/>
        <v/>
      </c>
      <c r="AE40" s="747" t="str">
        <f t="shared" si="52"/>
        <v/>
      </c>
      <c r="AF40" s="747" t="str">
        <f t="shared" si="53"/>
        <v/>
      </c>
      <c r="AG40" s="747" t="str">
        <f t="shared" si="54"/>
        <v/>
      </c>
      <c r="AH40" s="747" t="str">
        <f t="shared" si="55"/>
        <v/>
      </c>
      <c r="AI40" s="747" t="str">
        <f t="shared" si="25"/>
        <v/>
      </c>
      <c r="AJ40" s="747" t="str">
        <f t="shared" si="26"/>
        <v/>
      </c>
      <c r="AK40" s="776" t="str">
        <f t="shared" si="27"/>
        <v/>
      </c>
      <c r="AL40" s="802" t="str">
        <f t="shared" si="28"/>
        <v/>
      </c>
      <c r="AM40" s="747" t="str">
        <f t="shared" si="29"/>
        <v/>
      </c>
      <c r="AN40" s="771" t="str">
        <f t="shared" si="30"/>
        <v/>
      </c>
      <c r="AO40" s="771" t="str">
        <f t="shared" si="31"/>
        <v/>
      </c>
      <c r="AP40" s="808" t="str">
        <f t="shared" si="32"/>
        <v/>
      </c>
      <c r="AQ40" s="819" t="str">
        <f t="shared" si="33"/>
        <v/>
      </c>
      <c r="AR40" s="771" t="str">
        <f t="shared" si="34"/>
        <v/>
      </c>
      <c r="AS40" s="771" t="str">
        <f t="shared" si="35"/>
        <v/>
      </c>
      <c r="AT40" s="771" t="str">
        <f t="shared" si="36"/>
        <v/>
      </c>
      <c r="AU40" s="808" t="str">
        <f t="shared" si="37"/>
        <v/>
      </c>
      <c r="AV40" s="842" t="str">
        <f t="shared" si="38"/>
        <v/>
      </c>
      <c r="AW40" s="771" t="str">
        <f t="shared" si="39"/>
        <v/>
      </c>
      <c r="AX40" s="771" t="str">
        <f t="shared" si="40"/>
        <v/>
      </c>
      <c r="AY40" s="771" t="str">
        <f t="shared" si="41"/>
        <v/>
      </c>
      <c r="AZ40" s="831" t="str">
        <f t="shared" si="42"/>
        <v/>
      </c>
      <c r="BA40" s="835" t="str">
        <f t="shared" si="43"/>
        <v/>
      </c>
      <c r="BB40" s="772"/>
      <c r="BC40" s="275" t="str">
        <f t="shared" si="44"/>
        <v/>
      </c>
      <c r="BD40" s="275" t="str">
        <f t="shared" si="45"/>
        <v/>
      </c>
      <c r="BE40" s="886" t="str">
        <f t="shared" si="46"/>
        <v/>
      </c>
      <c r="BF40" s="873" t="str" cm="1">
        <f t="array" ref="BF40">IF($AE40="","",
_xlfn.IFS(
$BA40="Devis 1",
IF(ISBLANK(AN40),"",IFERROR(VALUE(TRIM(SUBSTITUTE(AN40,CHAR(160),""))),0)*IFERROR(VALUE(TRIM(SUBSTITUTE($AE40,CHAR(160),""))),0)),
$BA40="Devis 2",
IF(ISBLANK(AS40),"",IFERROR(VALUE(TRIM(SUBSTITUTE(AS40,CHAR(160),""))),0)*IFERROR(VALUE(TRIM(SUBSTITUTE($AE40,CHAR(160),""))),0)),
$BA40="Devis 3",
IF(ISBLANK(AX40),"",IFERROR(VALUE(TRIM(SUBSTITUTE(AX40,CHAR(160),""))),0)*IFERROR(VALUE(TRIM(SUBSTITUTE($AE40,CHAR(160),""))),0)),
TRUE,0
)
)</f>
        <v/>
      </c>
      <c r="BG40" s="873" t="str" cm="1">
        <f t="array" ref="BG40">IF($AE40="","",
_xlfn.IFS(
$BA40="Devis 1",
IF(ISBLANK(AO40),"",IFERROR(VALUE(TRIM(SUBSTITUTE(AO40,CHAR(160),""))),0)*IFERROR(VALUE(TRIM(SUBSTITUTE($AE40,CHAR(160),""))),0)),
$BA40="Devis 2",
IF(ISBLANK(AT40),"",IFERROR(VALUE(TRIM(SUBSTITUTE(AT40,CHAR(160),""))),0)*IFERROR(VALUE(TRIM(SUBSTITUTE($AE40,CHAR(160),""))),0)),
$BA40="Devis 3",
IF(ISBLANK(AY40),"",IFERROR(VALUE(TRIM(SUBSTITUTE(AY40,CHAR(160),""))),0)*IFERROR(VALUE(TRIM(SUBSTITUTE($AE40,CHAR(160),""))),0)),
TRUE,0
)
)</f>
        <v/>
      </c>
      <c r="BH40" s="874" t="str">
        <f t="shared" si="47"/>
        <v/>
      </c>
      <c r="BI40" s="866"/>
      <c r="BJ40" s="774" t="str" cm="1">
        <f t="array" ref="BJ40">IF(OR(BH40="",BE40="",BF40="",BC40="",BG40="",BD40=""),"",_xlfn.IFS(
ROUND(IFERROR(VALUE(TRIM(SUBSTITUTE(BH40,CHAR(160),""))),0),2)&gt;
ROUND(IFERROR(VALUE(TRIM(SUBSTITUTE(BE40,CHAR(160),""))),0),2),
"KO : Le montant retenu TTC est supérieur au montant raisonnable TTC. Merci de revoir la ligne de dépense ou plafonner son montant.",
ROUND(IFERROR(VALUE(TRIM(SUBSTITUTE(BF40,CHAR(160),""))),0),2)&gt;
ROUND(IFERROR(VALUE(TRIM(SUBSTITUTE(BC40,CHAR(160),""))),0),2),
"Attention : Le montant retenu HT est supérieur au montant HT raisonnable. Merci de revoir la ligne de dépense, plafonner son montant, ou justifier la reventillation HT / TVA.",
ROUND(IFERROR(VALUE(TRIM(SUBSTITUTE(BG40,CHAR(160),""))),0),2)&gt;
ROUND(IFERROR(VALUE(TRIM(SUBSTITUTE(BD40,CHAR(160),""))),0),2),
"Attention : Le montant TVA retenu est supérieur au montant TVA raisonnable. Merci de revoir la ligne de dépense, plafonner son montant, ou justifier la reventillation HT / TVA.",
ROUND(IFERROR(VALUE(TRIM(SUBSTITUTE(BH40,CHAR(160),""))),0),2)&gt;
ROUND(IFERROR(VALUE(TRIM(SUBSTITUTE(MIN(N40,S40,X40),CHAR(160),""))),0),2),
"Attention : Le devis retenu n'est pas le moins cher. Une justification de la part du porteur est nécessaire.",
ROUND(IFERROR(VALUE(TRIM(SUBSTITUTE(BH40,CHAR(160),""))),0),2)=0,
"Attention : montant présenté entièrement écarté",
ROUND(IFERROR(VALUE(TRIM(SUBSTITUTE(BE40,CHAR(160),""))),0),2)=
ROUND(IFERROR(VALUE(TRIM(SUBSTITUTE(BH40,CHAR(160),""))),0),2),
"OK",
ROUND(IFERROR(VALUE(TRIM(SUBSTITUTE(BE40,CHAR(160),""))),0),2)&gt;
ROUND(IFERROR(VALUE(TRIM(SUBSTITUTE(BH40,CHAR(160),""))),0),2),
" OK : Montant instruit inférieur au montant raisonnable.",
TRUE,""
))</f>
        <v/>
      </c>
      <c r="BK40" s="774" t="str" cm="1">
        <f t="array" ref="BK40">IF(OR(BH40="",AB40="",BF40="",Z40="",BG40="",AA40=""),"",_xlfn.IFS(
ROUND(IFERROR(VALUE(TRIM(SUBSTITUTE(BH40,CHAR(160),""))),0),2)&gt;
ROUND(IFERROR(VALUE(TRIM(SUBSTITUTE(AB40,CHAR(160),""))),0),2),
"KO : Le montant retenu TTC est supérieur au montant présenté TTC. Merci de revoir la ligne de dépense ou plafonner son montant.",
ROUND(IFERROR(VALUE(TRIM(SUBSTITUTE(BF40,CHAR(160),""))),0),2)&gt;
ROUND(IFERROR(VALUE(TRIM(SUBSTITUTE(Z40,CHAR(160),""))),0),2),
"Attention : Le montant retenu HT est supérieur au montant HT présenté. Merci de revoir la ligne de dépense, plafonner son montant, ou justifier la reventillation HT / TVA.",
ROUND(IFERROR(VALUE(TRIM(SUBSTITUTE(BG40,CHAR(160),""))),0),2)&gt;
ROUND(IFERROR(VALUE(TRIM(SUBSTITUTE(AA40,CHAR(160),""))),0),2),
"Attention : Le montant TVA retenu est supérieur au montant TVA présenté. Merci de revoir la ligne de dépense, plafonner son montant, ou justifier la reventillation HT / TVA.",
ROUND(IFERROR(VALUE(TRIM(SUBSTITUTE(AB40,CHAR(160),""))),0),2)=0,
"",
ROUND(IFERROR(VALUE(TRIM(SUBSTITUTE(BH40,CHAR(160),""))),0),2)=
ROUND(IFERROR(VALUE(TRIM(SUBSTITUTE(AB40,CHAR(160),""))),0),2),
"OK",
ROUND(IFERROR(VALUE(TRIM(SUBSTITUTE(BH40,CHAR(160),""))),0),2)=0,
"Attention : Montant présenté entièrement rejeté.",
ROUND(IFERROR(VALUE(TRIM(SUBSTITUTE(BH40,CHAR(160),""))),0),2)&lt;
ROUND(IFERROR(VALUE(TRIM(SUBSTITUTE(AB40,CHAR(160),""))),0),2),
"Attention : Montant présenté partiellement rejeté.",
TRUE,""
))</f>
        <v/>
      </c>
      <c r="BL40" s="773" t="str">
        <f t="shared" si="48"/>
        <v/>
      </c>
      <c r="BM40" s="773" t="str">
        <f t="shared" si="49"/>
        <v/>
      </c>
      <c r="BN40" s="773" t="str">
        <f t="shared" si="50"/>
        <v/>
      </c>
    </row>
    <row r="41" spans="1:66" ht="15" customHeight="1">
      <c r="A41" s="193">
        <v>37</v>
      </c>
      <c r="B41" s="7"/>
      <c r="C41" s="9"/>
      <c r="D41" s="30"/>
      <c r="E41" s="36"/>
      <c r="F41" s="34"/>
      <c r="G41" s="35"/>
      <c r="H41" s="685"/>
      <c r="I41" s="786"/>
      <c r="J41" s="792"/>
      <c r="K41" s="758"/>
      <c r="L41" s="761"/>
      <c r="M41" s="762"/>
      <c r="N41" s="808" t="str">
        <f t="shared" si="21"/>
        <v/>
      </c>
      <c r="O41" s="846"/>
      <c r="P41" s="847"/>
      <c r="Q41" s="762"/>
      <c r="R41" s="762"/>
      <c r="S41" s="808" t="str">
        <f t="shared" si="22"/>
        <v/>
      </c>
      <c r="T41" s="850"/>
      <c r="U41" s="847"/>
      <c r="V41" s="762"/>
      <c r="W41" s="762"/>
      <c r="X41" s="830" t="str">
        <f t="shared" si="23"/>
        <v/>
      </c>
      <c r="Y41" s="246"/>
      <c r="Z41" s="284" t="str" cm="1">
        <f t="array" ref="Z41">IF((_xlfn.IFS(TRIM(SUBSTITUTE(Y41,CHAR(160),""))="Devis 1",IFERROR(VALUE(TRIM(SUBSTITUTE(L41,CHAR(160),""))),0),TRIM(SUBSTITUTE(Y41,CHAR(160),""))="Devis 2",IFERROR(VALUE(TRIM(SUBSTITUTE(Q41,CHAR(160),""))),0),TRIM(SUBSTITUTE(Y41,CHAR(160),""))="Devis 3",IFERROR(VALUE(TRIM(SUBSTITUTE(V41,CHAR(160),""))),0),TRUE,0)*IFERROR(VALUE(TRIM(SUBSTITUTE(C41,CHAR(160),""))),0))=0,"",_xlfn.IFS(TRIM(SUBSTITUTE(Y41,CHAR(160),""))="Devis 1",IFERROR(VALUE(TRIM(SUBSTITUTE(L41,CHAR(160),""))),0),TRIM(SUBSTITUTE(Y41,CHAR(160),""))="Devis 2",IFERROR(VALUE(TRIM(SUBSTITUTE(Q41,CHAR(160),""))),0),TRIM(SUBSTITUTE(Y41,CHAR(160),""))="Devis 3",IFERROR(VALUE(TRIM(SUBSTITUTE(V41,CHAR(160),""))),0),TRUE,0)*IFERROR(VALUE(TRIM(SUBSTITUTE(C41,CHAR(160),""))),0))</f>
        <v/>
      </c>
      <c r="AA41" s="275" t="str" cm="1">
        <f t="array" ref="AA41">IF((_xlfn.IFS(TRIM(SUBSTITUTE(Y41,CHAR(160),""))="Devis 1",IFERROR(VALUE(TRIM(SUBSTITUTE(M41,CHAR(160),""))),0),TRIM(SUBSTITUTE(Y41,CHAR(160),""))="Devis 2",IFERROR(VALUE(TRIM(SUBSTITUTE(R41,CHAR(160),""))),0),TRIM(SUBSTITUTE(Y41,CHAR(160),""))="Devis 3",IFERROR(VALUE(TRIM(SUBSTITUTE(W41,CHAR(160),""))),0),TRUE,0)*IFERROR(VALUE(TRIM(SUBSTITUTE(C41,CHAR(160),""))),0))=0,IF(Z41&lt;&gt;"",0,""),_xlfn.IFS(TRIM(SUBSTITUTE(Y41,CHAR(160),""))="Devis 1",IFERROR(VALUE(TRIM(SUBSTITUTE(M41,CHAR(160),""))),0),TRIM(SUBSTITUTE(Y41,CHAR(160),""))="Devis 2",IFERROR(VALUE(TRIM(SUBSTITUTE(R41,CHAR(160),""))),0),TRIM(SUBSTITUTE(Y41,CHAR(160),""))="Devis 3",IFERROR(VALUE(TRIM(SUBSTITUTE(W41,CHAR(160),""))),0),TRUE,0)*IFERROR(VALUE(TRIM(SUBSTITUTE(C41,CHAR(160),""))),0))</f>
        <v/>
      </c>
      <c r="AB41" s="285" t="str">
        <f t="shared" si="24"/>
        <v/>
      </c>
      <c r="AC41" s="209"/>
      <c r="AD41" s="747" t="str">
        <f t="shared" si="51"/>
        <v/>
      </c>
      <c r="AE41" s="747" t="str">
        <f t="shared" si="52"/>
        <v/>
      </c>
      <c r="AF41" s="747" t="str">
        <f t="shared" si="53"/>
        <v/>
      </c>
      <c r="AG41" s="747" t="str">
        <f t="shared" si="54"/>
        <v/>
      </c>
      <c r="AH41" s="747" t="str">
        <f t="shared" si="55"/>
        <v/>
      </c>
      <c r="AI41" s="747" t="str">
        <f t="shared" si="25"/>
        <v/>
      </c>
      <c r="AJ41" s="747" t="str">
        <f t="shared" si="26"/>
        <v/>
      </c>
      <c r="AK41" s="776" t="str">
        <f t="shared" si="27"/>
        <v/>
      </c>
      <c r="AL41" s="802" t="str">
        <f t="shared" si="28"/>
        <v/>
      </c>
      <c r="AM41" s="747" t="str">
        <f t="shared" si="29"/>
        <v/>
      </c>
      <c r="AN41" s="771" t="str">
        <f t="shared" si="30"/>
        <v/>
      </c>
      <c r="AO41" s="771" t="str">
        <f t="shared" si="31"/>
        <v/>
      </c>
      <c r="AP41" s="808" t="str">
        <f t="shared" si="32"/>
        <v/>
      </c>
      <c r="AQ41" s="819" t="str">
        <f t="shared" si="33"/>
        <v/>
      </c>
      <c r="AR41" s="771" t="str">
        <f t="shared" si="34"/>
        <v/>
      </c>
      <c r="AS41" s="771" t="str">
        <f t="shared" si="35"/>
        <v/>
      </c>
      <c r="AT41" s="771" t="str">
        <f t="shared" si="36"/>
        <v/>
      </c>
      <c r="AU41" s="808" t="str">
        <f t="shared" si="37"/>
        <v/>
      </c>
      <c r="AV41" s="842" t="str">
        <f t="shared" si="38"/>
        <v/>
      </c>
      <c r="AW41" s="771" t="str">
        <f t="shared" si="39"/>
        <v/>
      </c>
      <c r="AX41" s="771" t="str">
        <f t="shared" si="40"/>
        <v/>
      </c>
      <c r="AY41" s="771" t="str">
        <f t="shared" si="41"/>
        <v/>
      </c>
      <c r="AZ41" s="831" t="str">
        <f t="shared" si="42"/>
        <v/>
      </c>
      <c r="BA41" s="835" t="str">
        <f t="shared" si="43"/>
        <v/>
      </c>
      <c r="BB41" s="772"/>
      <c r="BC41" s="275" t="str">
        <f t="shared" si="44"/>
        <v/>
      </c>
      <c r="BD41" s="275" t="str">
        <f t="shared" si="45"/>
        <v/>
      </c>
      <c r="BE41" s="886" t="str">
        <f t="shared" si="46"/>
        <v/>
      </c>
      <c r="BF41" s="873" t="str" cm="1">
        <f t="array" ref="BF41">IF($AE41="","",
_xlfn.IFS(
$BA41="Devis 1",
IF(ISBLANK(AN41),"",IFERROR(VALUE(TRIM(SUBSTITUTE(AN41,CHAR(160),""))),0)*IFERROR(VALUE(TRIM(SUBSTITUTE($AE41,CHAR(160),""))),0)),
$BA41="Devis 2",
IF(ISBLANK(AS41),"",IFERROR(VALUE(TRIM(SUBSTITUTE(AS41,CHAR(160),""))),0)*IFERROR(VALUE(TRIM(SUBSTITUTE($AE41,CHAR(160),""))),0)),
$BA41="Devis 3",
IF(ISBLANK(AX41),"",IFERROR(VALUE(TRIM(SUBSTITUTE(AX41,CHAR(160),""))),0)*IFERROR(VALUE(TRIM(SUBSTITUTE($AE41,CHAR(160),""))),0)),
TRUE,0
)
)</f>
        <v/>
      </c>
      <c r="BG41" s="873" t="str" cm="1">
        <f t="array" ref="BG41">IF($AE41="","",
_xlfn.IFS(
$BA41="Devis 1",
IF(ISBLANK(AO41),"",IFERROR(VALUE(TRIM(SUBSTITUTE(AO41,CHAR(160),""))),0)*IFERROR(VALUE(TRIM(SUBSTITUTE($AE41,CHAR(160),""))),0)),
$BA41="Devis 2",
IF(ISBLANK(AT41),"",IFERROR(VALUE(TRIM(SUBSTITUTE(AT41,CHAR(160),""))),0)*IFERROR(VALUE(TRIM(SUBSTITUTE($AE41,CHAR(160),""))),0)),
$BA41="Devis 3",
IF(ISBLANK(AY41),"",IFERROR(VALUE(TRIM(SUBSTITUTE(AY41,CHAR(160),""))),0)*IFERROR(VALUE(TRIM(SUBSTITUTE($AE41,CHAR(160),""))),0)),
TRUE,0
)
)</f>
        <v/>
      </c>
      <c r="BH41" s="874" t="str">
        <f t="shared" si="47"/>
        <v/>
      </c>
      <c r="BI41" s="866"/>
      <c r="BJ41" s="774" t="str" cm="1">
        <f t="array" ref="BJ41">IF(OR(BH41="",BE41="",BF41="",BC41="",BG41="",BD41=""),"",_xlfn.IFS(
ROUND(IFERROR(VALUE(TRIM(SUBSTITUTE(BH41,CHAR(160),""))),0),2)&gt;
ROUND(IFERROR(VALUE(TRIM(SUBSTITUTE(BE41,CHAR(160),""))),0),2),
"KO : Le montant retenu TTC est supérieur au montant raisonnable TTC. Merci de revoir la ligne de dépense ou plafonner son montant.",
ROUND(IFERROR(VALUE(TRIM(SUBSTITUTE(BF41,CHAR(160),""))),0),2)&gt;
ROUND(IFERROR(VALUE(TRIM(SUBSTITUTE(BC41,CHAR(160),""))),0),2),
"Attention : Le montant retenu HT est supérieur au montant HT raisonnable. Merci de revoir la ligne de dépense, plafonner son montant, ou justifier la reventillation HT / TVA.",
ROUND(IFERROR(VALUE(TRIM(SUBSTITUTE(BG41,CHAR(160),""))),0),2)&gt;
ROUND(IFERROR(VALUE(TRIM(SUBSTITUTE(BD41,CHAR(160),""))),0),2),
"Attention : Le montant TVA retenu est supérieur au montant TVA raisonnable. Merci de revoir la ligne de dépense, plafonner son montant, ou justifier la reventillation HT / TVA.",
ROUND(IFERROR(VALUE(TRIM(SUBSTITUTE(BH41,CHAR(160),""))),0),2)&gt;
ROUND(IFERROR(VALUE(TRIM(SUBSTITUTE(MIN(N41,S41,X41),CHAR(160),""))),0),2),
"Attention : Le devis retenu n'est pas le moins cher. Une justification de la part du porteur est nécessaire.",
ROUND(IFERROR(VALUE(TRIM(SUBSTITUTE(BH41,CHAR(160),""))),0),2)=0,
"Attention : montant présenté entièrement écarté",
ROUND(IFERROR(VALUE(TRIM(SUBSTITUTE(BE41,CHAR(160),""))),0),2)=
ROUND(IFERROR(VALUE(TRIM(SUBSTITUTE(BH41,CHAR(160),""))),0),2),
"OK",
ROUND(IFERROR(VALUE(TRIM(SUBSTITUTE(BE41,CHAR(160),""))),0),2)&gt;
ROUND(IFERROR(VALUE(TRIM(SUBSTITUTE(BH41,CHAR(160),""))),0),2),
" OK : Montant instruit inférieur au montant raisonnable.",
TRUE,""
))</f>
        <v/>
      </c>
      <c r="BK41" s="774" t="str" cm="1">
        <f t="array" ref="BK41">IF(OR(BH41="",AB41="",BF41="",Z41="",BG41="",AA41=""),"",_xlfn.IFS(
ROUND(IFERROR(VALUE(TRIM(SUBSTITUTE(BH41,CHAR(160),""))),0),2)&gt;
ROUND(IFERROR(VALUE(TRIM(SUBSTITUTE(AB41,CHAR(160),""))),0),2),
"KO : Le montant retenu TTC est supérieur au montant présenté TTC. Merci de revoir la ligne de dépense ou plafonner son montant.",
ROUND(IFERROR(VALUE(TRIM(SUBSTITUTE(BF41,CHAR(160),""))),0),2)&gt;
ROUND(IFERROR(VALUE(TRIM(SUBSTITUTE(Z41,CHAR(160),""))),0),2),
"Attention : Le montant retenu HT est supérieur au montant HT présenté. Merci de revoir la ligne de dépense, plafonner son montant, ou justifier la reventillation HT / TVA.",
ROUND(IFERROR(VALUE(TRIM(SUBSTITUTE(BG41,CHAR(160),""))),0),2)&gt;
ROUND(IFERROR(VALUE(TRIM(SUBSTITUTE(AA41,CHAR(160),""))),0),2),
"Attention : Le montant TVA retenu est supérieur au montant TVA présenté. Merci de revoir la ligne de dépense, plafonner son montant, ou justifier la reventillation HT / TVA.",
ROUND(IFERROR(VALUE(TRIM(SUBSTITUTE(AB41,CHAR(160),""))),0),2)=0,
"",
ROUND(IFERROR(VALUE(TRIM(SUBSTITUTE(BH41,CHAR(160),""))),0),2)=
ROUND(IFERROR(VALUE(TRIM(SUBSTITUTE(AB41,CHAR(160),""))),0),2),
"OK",
ROUND(IFERROR(VALUE(TRIM(SUBSTITUTE(BH41,CHAR(160),""))),0),2)=0,
"Attention : Montant présenté entièrement rejeté.",
ROUND(IFERROR(VALUE(TRIM(SUBSTITUTE(BH41,CHAR(160),""))),0),2)&lt;
ROUND(IFERROR(VALUE(TRIM(SUBSTITUTE(AB41,CHAR(160),""))),0),2),
"Attention : Montant présenté partiellement rejeté.",
TRUE,""
))</f>
        <v/>
      </c>
      <c r="BL41" s="773" t="str">
        <f t="shared" si="48"/>
        <v/>
      </c>
      <c r="BM41" s="773" t="str">
        <f t="shared" si="49"/>
        <v/>
      </c>
      <c r="BN41" s="773" t="str">
        <f t="shared" si="50"/>
        <v/>
      </c>
    </row>
    <row r="42" spans="1:66" ht="15" customHeight="1">
      <c r="A42" s="193">
        <v>38</v>
      </c>
      <c r="B42" s="7"/>
      <c r="C42" s="9"/>
      <c r="D42" s="30"/>
      <c r="E42" s="36"/>
      <c r="F42" s="34"/>
      <c r="G42" s="35"/>
      <c r="H42" s="685"/>
      <c r="I42" s="786"/>
      <c r="J42" s="792"/>
      <c r="K42" s="758"/>
      <c r="L42" s="761"/>
      <c r="M42" s="762"/>
      <c r="N42" s="808" t="str">
        <f t="shared" si="21"/>
        <v/>
      </c>
      <c r="O42" s="846"/>
      <c r="P42" s="847"/>
      <c r="Q42" s="762"/>
      <c r="R42" s="762"/>
      <c r="S42" s="808" t="str">
        <f t="shared" si="22"/>
        <v/>
      </c>
      <c r="T42" s="850"/>
      <c r="U42" s="847"/>
      <c r="V42" s="762"/>
      <c r="W42" s="762"/>
      <c r="X42" s="830" t="str">
        <f t="shared" si="23"/>
        <v/>
      </c>
      <c r="Y42" s="246"/>
      <c r="Z42" s="284" t="str" cm="1">
        <f t="array" ref="Z42">IF((_xlfn.IFS(TRIM(SUBSTITUTE(Y42,CHAR(160),""))="Devis 1",IFERROR(VALUE(TRIM(SUBSTITUTE(L42,CHAR(160),""))),0),TRIM(SUBSTITUTE(Y42,CHAR(160),""))="Devis 2",IFERROR(VALUE(TRIM(SUBSTITUTE(Q42,CHAR(160),""))),0),TRIM(SUBSTITUTE(Y42,CHAR(160),""))="Devis 3",IFERROR(VALUE(TRIM(SUBSTITUTE(V42,CHAR(160),""))),0),TRUE,0)*IFERROR(VALUE(TRIM(SUBSTITUTE(C42,CHAR(160),""))),0))=0,"",_xlfn.IFS(TRIM(SUBSTITUTE(Y42,CHAR(160),""))="Devis 1",IFERROR(VALUE(TRIM(SUBSTITUTE(L42,CHAR(160),""))),0),TRIM(SUBSTITUTE(Y42,CHAR(160),""))="Devis 2",IFERROR(VALUE(TRIM(SUBSTITUTE(Q42,CHAR(160),""))),0),TRIM(SUBSTITUTE(Y42,CHAR(160),""))="Devis 3",IFERROR(VALUE(TRIM(SUBSTITUTE(V42,CHAR(160),""))),0),TRUE,0)*IFERROR(VALUE(TRIM(SUBSTITUTE(C42,CHAR(160),""))),0))</f>
        <v/>
      </c>
      <c r="AA42" s="275" t="str" cm="1">
        <f t="array" ref="AA42">IF((_xlfn.IFS(TRIM(SUBSTITUTE(Y42,CHAR(160),""))="Devis 1",IFERROR(VALUE(TRIM(SUBSTITUTE(M42,CHAR(160),""))),0),TRIM(SUBSTITUTE(Y42,CHAR(160),""))="Devis 2",IFERROR(VALUE(TRIM(SUBSTITUTE(R42,CHAR(160),""))),0),TRIM(SUBSTITUTE(Y42,CHAR(160),""))="Devis 3",IFERROR(VALUE(TRIM(SUBSTITUTE(W42,CHAR(160),""))),0),TRUE,0)*IFERROR(VALUE(TRIM(SUBSTITUTE(C42,CHAR(160),""))),0))=0,IF(Z42&lt;&gt;"",0,""),_xlfn.IFS(TRIM(SUBSTITUTE(Y42,CHAR(160),""))="Devis 1",IFERROR(VALUE(TRIM(SUBSTITUTE(M42,CHAR(160),""))),0),TRIM(SUBSTITUTE(Y42,CHAR(160),""))="Devis 2",IFERROR(VALUE(TRIM(SUBSTITUTE(R42,CHAR(160),""))),0),TRIM(SUBSTITUTE(Y42,CHAR(160),""))="Devis 3",IFERROR(VALUE(TRIM(SUBSTITUTE(W42,CHAR(160),""))),0),TRUE,0)*IFERROR(VALUE(TRIM(SUBSTITUTE(C42,CHAR(160),""))),0))</f>
        <v/>
      </c>
      <c r="AB42" s="285" t="str">
        <f t="shared" si="24"/>
        <v/>
      </c>
      <c r="AC42" s="209"/>
      <c r="AD42" s="747" t="str">
        <f t="shared" si="51"/>
        <v/>
      </c>
      <c r="AE42" s="747" t="str">
        <f t="shared" si="52"/>
        <v/>
      </c>
      <c r="AF42" s="747" t="str">
        <f t="shared" si="53"/>
        <v/>
      </c>
      <c r="AG42" s="747" t="str">
        <f t="shared" si="54"/>
        <v/>
      </c>
      <c r="AH42" s="747" t="str">
        <f t="shared" si="55"/>
        <v/>
      </c>
      <c r="AI42" s="747" t="str">
        <f t="shared" si="25"/>
        <v/>
      </c>
      <c r="AJ42" s="747" t="str">
        <f t="shared" si="26"/>
        <v/>
      </c>
      <c r="AK42" s="776" t="str">
        <f t="shared" si="27"/>
        <v/>
      </c>
      <c r="AL42" s="802" t="str">
        <f t="shared" si="28"/>
        <v/>
      </c>
      <c r="AM42" s="747" t="str">
        <f t="shared" si="29"/>
        <v/>
      </c>
      <c r="AN42" s="771" t="str">
        <f t="shared" si="30"/>
        <v/>
      </c>
      <c r="AO42" s="771" t="str">
        <f t="shared" si="31"/>
        <v/>
      </c>
      <c r="AP42" s="808" t="str">
        <f t="shared" si="32"/>
        <v/>
      </c>
      <c r="AQ42" s="819" t="str">
        <f t="shared" si="33"/>
        <v/>
      </c>
      <c r="AR42" s="771" t="str">
        <f t="shared" si="34"/>
        <v/>
      </c>
      <c r="AS42" s="771" t="str">
        <f t="shared" si="35"/>
        <v/>
      </c>
      <c r="AT42" s="771" t="str">
        <f t="shared" si="36"/>
        <v/>
      </c>
      <c r="AU42" s="808" t="str">
        <f t="shared" si="37"/>
        <v/>
      </c>
      <c r="AV42" s="842" t="str">
        <f t="shared" si="38"/>
        <v/>
      </c>
      <c r="AW42" s="771" t="str">
        <f t="shared" si="39"/>
        <v/>
      </c>
      <c r="AX42" s="771" t="str">
        <f t="shared" si="40"/>
        <v/>
      </c>
      <c r="AY42" s="771" t="str">
        <f t="shared" si="41"/>
        <v/>
      </c>
      <c r="AZ42" s="831" t="str">
        <f t="shared" si="42"/>
        <v/>
      </c>
      <c r="BA42" s="835" t="str">
        <f t="shared" si="43"/>
        <v/>
      </c>
      <c r="BB42" s="772"/>
      <c r="BC42" s="275" t="str">
        <f t="shared" si="44"/>
        <v/>
      </c>
      <c r="BD42" s="275" t="str">
        <f t="shared" si="45"/>
        <v/>
      </c>
      <c r="BE42" s="886" t="str">
        <f t="shared" si="46"/>
        <v/>
      </c>
      <c r="BF42" s="873" t="str" cm="1">
        <f t="array" ref="BF42">IF($AE42="","",
_xlfn.IFS(
$BA42="Devis 1",
IF(ISBLANK(AN42),"",IFERROR(VALUE(TRIM(SUBSTITUTE(AN42,CHAR(160),""))),0)*IFERROR(VALUE(TRIM(SUBSTITUTE($AE42,CHAR(160),""))),0)),
$BA42="Devis 2",
IF(ISBLANK(AS42),"",IFERROR(VALUE(TRIM(SUBSTITUTE(AS42,CHAR(160),""))),0)*IFERROR(VALUE(TRIM(SUBSTITUTE($AE42,CHAR(160),""))),0)),
$BA42="Devis 3",
IF(ISBLANK(AX42),"",IFERROR(VALUE(TRIM(SUBSTITUTE(AX42,CHAR(160),""))),0)*IFERROR(VALUE(TRIM(SUBSTITUTE($AE42,CHAR(160),""))),0)),
TRUE,0
)
)</f>
        <v/>
      </c>
      <c r="BG42" s="873" t="str" cm="1">
        <f t="array" ref="BG42">IF($AE42="","",
_xlfn.IFS(
$BA42="Devis 1",
IF(ISBLANK(AO42),"",IFERROR(VALUE(TRIM(SUBSTITUTE(AO42,CHAR(160),""))),0)*IFERROR(VALUE(TRIM(SUBSTITUTE($AE42,CHAR(160),""))),0)),
$BA42="Devis 2",
IF(ISBLANK(AT42),"",IFERROR(VALUE(TRIM(SUBSTITUTE(AT42,CHAR(160),""))),0)*IFERROR(VALUE(TRIM(SUBSTITUTE($AE42,CHAR(160),""))),0)),
$BA42="Devis 3",
IF(ISBLANK(AY42),"",IFERROR(VALUE(TRIM(SUBSTITUTE(AY42,CHAR(160),""))),0)*IFERROR(VALUE(TRIM(SUBSTITUTE($AE42,CHAR(160),""))),0)),
TRUE,0
)
)</f>
        <v/>
      </c>
      <c r="BH42" s="874" t="str">
        <f t="shared" si="47"/>
        <v/>
      </c>
      <c r="BI42" s="866"/>
      <c r="BJ42" s="774" t="str" cm="1">
        <f t="array" ref="BJ42">IF(OR(BH42="",BE42="",BF42="",BC42="",BG42="",BD42=""),"",_xlfn.IFS(
ROUND(IFERROR(VALUE(TRIM(SUBSTITUTE(BH42,CHAR(160),""))),0),2)&gt;
ROUND(IFERROR(VALUE(TRIM(SUBSTITUTE(BE42,CHAR(160),""))),0),2),
"KO : Le montant retenu TTC est supérieur au montant raisonnable TTC. Merci de revoir la ligne de dépense ou plafonner son montant.",
ROUND(IFERROR(VALUE(TRIM(SUBSTITUTE(BF42,CHAR(160),""))),0),2)&gt;
ROUND(IFERROR(VALUE(TRIM(SUBSTITUTE(BC42,CHAR(160),""))),0),2),
"Attention : Le montant retenu HT est supérieur au montant HT raisonnable. Merci de revoir la ligne de dépense, plafonner son montant, ou justifier la reventillation HT / TVA.",
ROUND(IFERROR(VALUE(TRIM(SUBSTITUTE(BG42,CHAR(160),""))),0),2)&gt;
ROUND(IFERROR(VALUE(TRIM(SUBSTITUTE(BD42,CHAR(160),""))),0),2),
"Attention : Le montant TVA retenu est supérieur au montant TVA raisonnable. Merci de revoir la ligne de dépense, plafonner son montant, ou justifier la reventillation HT / TVA.",
ROUND(IFERROR(VALUE(TRIM(SUBSTITUTE(BH42,CHAR(160),""))),0),2)&gt;
ROUND(IFERROR(VALUE(TRIM(SUBSTITUTE(MIN(N42,S42,X42),CHAR(160),""))),0),2),
"Attention : Le devis retenu n'est pas le moins cher. Une justification de la part du porteur est nécessaire.",
ROUND(IFERROR(VALUE(TRIM(SUBSTITUTE(BH42,CHAR(160),""))),0),2)=0,
"Attention : montant présenté entièrement écarté",
ROUND(IFERROR(VALUE(TRIM(SUBSTITUTE(BE42,CHAR(160),""))),0),2)=
ROUND(IFERROR(VALUE(TRIM(SUBSTITUTE(BH42,CHAR(160),""))),0),2),
"OK",
ROUND(IFERROR(VALUE(TRIM(SUBSTITUTE(BE42,CHAR(160),""))),0),2)&gt;
ROUND(IFERROR(VALUE(TRIM(SUBSTITUTE(BH42,CHAR(160),""))),0),2),
" OK : Montant instruit inférieur au montant raisonnable.",
TRUE,""
))</f>
        <v/>
      </c>
      <c r="BK42" s="774" t="str" cm="1">
        <f t="array" ref="BK42">IF(OR(BH42="",AB42="",BF42="",Z42="",BG42="",AA42=""),"",_xlfn.IFS(
ROUND(IFERROR(VALUE(TRIM(SUBSTITUTE(BH42,CHAR(160),""))),0),2)&gt;
ROUND(IFERROR(VALUE(TRIM(SUBSTITUTE(AB42,CHAR(160),""))),0),2),
"KO : Le montant retenu TTC est supérieur au montant présenté TTC. Merci de revoir la ligne de dépense ou plafonner son montant.",
ROUND(IFERROR(VALUE(TRIM(SUBSTITUTE(BF42,CHAR(160),""))),0),2)&gt;
ROUND(IFERROR(VALUE(TRIM(SUBSTITUTE(Z42,CHAR(160),""))),0),2),
"Attention : Le montant retenu HT est supérieur au montant HT présenté. Merci de revoir la ligne de dépense, plafonner son montant, ou justifier la reventillation HT / TVA.",
ROUND(IFERROR(VALUE(TRIM(SUBSTITUTE(BG42,CHAR(160),""))),0),2)&gt;
ROUND(IFERROR(VALUE(TRIM(SUBSTITUTE(AA42,CHAR(160),""))),0),2),
"Attention : Le montant TVA retenu est supérieur au montant TVA présenté. Merci de revoir la ligne de dépense, plafonner son montant, ou justifier la reventillation HT / TVA.",
ROUND(IFERROR(VALUE(TRIM(SUBSTITUTE(AB42,CHAR(160),""))),0),2)=0,
"",
ROUND(IFERROR(VALUE(TRIM(SUBSTITUTE(BH42,CHAR(160),""))),0),2)=
ROUND(IFERROR(VALUE(TRIM(SUBSTITUTE(AB42,CHAR(160),""))),0),2),
"OK",
ROUND(IFERROR(VALUE(TRIM(SUBSTITUTE(BH42,CHAR(160),""))),0),2)=0,
"Attention : Montant présenté entièrement rejeté.",
ROUND(IFERROR(VALUE(TRIM(SUBSTITUTE(BH42,CHAR(160),""))),0),2)&lt;
ROUND(IFERROR(VALUE(TRIM(SUBSTITUTE(AB42,CHAR(160),""))),0),2),
"Attention : Montant présenté partiellement rejeté.",
TRUE,""
))</f>
        <v/>
      </c>
      <c r="BL42" s="773" t="str">
        <f t="shared" si="48"/>
        <v/>
      </c>
      <c r="BM42" s="773" t="str">
        <f t="shared" si="49"/>
        <v/>
      </c>
      <c r="BN42" s="773" t="str">
        <f t="shared" si="50"/>
        <v/>
      </c>
    </row>
    <row r="43" spans="1:66" ht="15" customHeight="1">
      <c r="A43" s="193">
        <v>39</v>
      </c>
      <c r="B43" s="7"/>
      <c r="C43" s="9"/>
      <c r="D43" s="30"/>
      <c r="E43" s="36"/>
      <c r="F43" s="34"/>
      <c r="G43" s="35"/>
      <c r="H43" s="685"/>
      <c r="I43" s="786"/>
      <c r="J43" s="792"/>
      <c r="K43" s="758"/>
      <c r="L43" s="761"/>
      <c r="M43" s="762"/>
      <c r="N43" s="808" t="str">
        <f t="shared" si="21"/>
        <v/>
      </c>
      <c r="O43" s="848"/>
      <c r="P43" s="847"/>
      <c r="Q43" s="762"/>
      <c r="R43" s="762"/>
      <c r="S43" s="808" t="str">
        <f t="shared" si="22"/>
        <v/>
      </c>
      <c r="T43" s="850"/>
      <c r="U43" s="847"/>
      <c r="V43" s="762"/>
      <c r="W43" s="762"/>
      <c r="X43" s="830" t="str">
        <f t="shared" si="23"/>
        <v/>
      </c>
      <c r="Y43" s="246"/>
      <c r="Z43" s="284" t="str" cm="1">
        <f t="array" ref="Z43">IF((_xlfn.IFS(TRIM(SUBSTITUTE(Y43,CHAR(160),""))="Devis 1",IFERROR(VALUE(TRIM(SUBSTITUTE(L43,CHAR(160),""))),0),TRIM(SUBSTITUTE(Y43,CHAR(160),""))="Devis 2",IFERROR(VALUE(TRIM(SUBSTITUTE(Q43,CHAR(160),""))),0),TRIM(SUBSTITUTE(Y43,CHAR(160),""))="Devis 3",IFERROR(VALUE(TRIM(SUBSTITUTE(V43,CHAR(160),""))),0),TRUE,0)*IFERROR(VALUE(TRIM(SUBSTITUTE(C43,CHAR(160),""))),0))=0,"",_xlfn.IFS(TRIM(SUBSTITUTE(Y43,CHAR(160),""))="Devis 1",IFERROR(VALUE(TRIM(SUBSTITUTE(L43,CHAR(160),""))),0),TRIM(SUBSTITUTE(Y43,CHAR(160),""))="Devis 2",IFERROR(VALUE(TRIM(SUBSTITUTE(Q43,CHAR(160),""))),0),TRIM(SUBSTITUTE(Y43,CHAR(160),""))="Devis 3",IFERROR(VALUE(TRIM(SUBSTITUTE(V43,CHAR(160),""))),0),TRUE,0)*IFERROR(VALUE(TRIM(SUBSTITUTE(C43,CHAR(160),""))),0))</f>
        <v/>
      </c>
      <c r="AA43" s="275" t="str" cm="1">
        <f t="array" ref="AA43">IF((_xlfn.IFS(TRIM(SUBSTITUTE(Y43,CHAR(160),""))="Devis 1",IFERROR(VALUE(TRIM(SUBSTITUTE(M43,CHAR(160),""))),0),TRIM(SUBSTITUTE(Y43,CHAR(160),""))="Devis 2",IFERROR(VALUE(TRIM(SUBSTITUTE(R43,CHAR(160),""))),0),TRIM(SUBSTITUTE(Y43,CHAR(160),""))="Devis 3",IFERROR(VALUE(TRIM(SUBSTITUTE(W43,CHAR(160),""))),0),TRUE,0)*IFERROR(VALUE(TRIM(SUBSTITUTE(C43,CHAR(160),""))),0))=0,IF(Z43&lt;&gt;"",0,""),_xlfn.IFS(TRIM(SUBSTITUTE(Y43,CHAR(160),""))="Devis 1",IFERROR(VALUE(TRIM(SUBSTITUTE(M43,CHAR(160),""))),0),TRIM(SUBSTITUTE(Y43,CHAR(160),""))="Devis 2",IFERROR(VALUE(TRIM(SUBSTITUTE(R43,CHAR(160),""))),0),TRIM(SUBSTITUTE(Y43,CHAR(160),""))="Devis 3",IFERROR(VALUE(TRIM(SUBSTITUTE(W43,CHAR(160),""))),0),TRUE,0)*IFERROR(VALUE(TRIM(SUBSTITUTE(C43,CHAR(160),""))),0))</f>
        <v/>
      </c>
      <c r="AB43" s="285" t="str">
        <f t="shared" si="24"/>
        <v/>
      </c>
      <c r="AC43" s="209"/>
      <c r="AD43" s="747" t="str">
        <f t="shared" si="51"/>
        <v/>
      </c>
      <c r="AE43" s="747" t="str">
        <f t="shared" si="52"/>
        <v/>
      </c>
      <c r="AF43" s="747" t="str">
        <f t="shared" si="53"/>
        <v/>
      </c>
      <c r="AG43" s="747" t="str">
        <f t="shared" si="54"/>
        <v/>
      </c>
      <c r="AH43" s="747" t="str">
        <f t="shared" si="55"/>
        <v/>
      </c>
      <c r="AI43" s="747" t="str">
        <f t="shared" si="25"/>
        <v/>
      </c>
      <c r="AJ43" s="747" t="str">
        <f t="shared" si="26"/>
        <v/>
      </c>
      <c r="AK43" s="776" t="str">
        <f t="shared" si="27"/>
        <v/>
      </c>
      <c r="AL43" s="802" t="str">
        <f t="shared" si="28"/>
        <v/>
      </c>
      <c r="AM43" s="747" t="str">
        <f t="shared" si="29"/>
        <v/>
      </c>
      <c r="AN43" s="771" t="str">
        <f t="shared" si="30"/>
        <v/>
      </c>
      <c r="AO43" s="771" t="str">
        <f t="shared" si="31"/>
        <v/>
      </c>
      <c r="AP43" s="808" t="str">
        <f t="shared" si="32"/>
        <v/>
      </c>
      <c r="AQ43" s="819" t="str">
        <f t="shared" si="33"/>
        <v/>
      </c>
      <c r="AR43" s="771" t="str">
        <f t="shared" si="34"/>
        <v/>
      </c>
      <c r="AS43" s="771" t="str">
        <f t="shared" si="35"/>
        <v/>
      </c>
      <c r="AT43" s="771" t="str">
        <f t="shared" si="36"/>
        <v/>
      </c>
      <c r="AU43" s="808" t="str">
        <f t="shared" si="37"/>
        <v/>
      </c>
      <c r="AV43" s="842" t="str">
        <f t="shared" si="38"/>
        <v/>
      </c>
      <c r="AW43" s="771" t="str">
        <f t="shared" si="39"/>
        <v/>
      </c>
      <c r="AX43" s="771" t="str">
        <f t="shared" si="40"/>
        <v/>
      </c>
      <c r="AY43" s="771" t="str">
        <f t="shared" si="41"/>
        <v/>
      </c>
      <c r="AZ43" s="831" t="str">
        <f t="shared" si="42"/>
        <v/>
      </c>
      <c r="BA43" s="835" t="str">
        <f t="shared" si="43"/>
        <v/>
      </c>
      <c r="BB43" s="772"/>
      <c r="BC43" s="275" t="str">
        <f t="shared" si="44"/>
        <v/>
      </c>
      <c r="BD43" s="275" t="str">
        <f t="shared" si="45"/>
        <v/>
      </c>
      <c r="BE43" s="886" t="str">
        <f t="shared" si="46"/>
        <v/>
      </c>
      <c r="BF43" s="873" t="str" cm="1">
        <f t="array" ref="BF43">IF($AE43="","",
_xlfn.IFS(
$BA43="Devis 1",
IF(ISBLANK(AN43),"",IFERROR(VALUE(TRIM(SUBSTITUTE(AN43,CHAR(160),""))),0)*IFERROR(VALUE(TRIM(SUBSTITUTE($AE43,CHAR(160),""))),0)),
$BA43="Devis 2",
IF(ISBLANK(AS43),"",IFERROR(VALUE(TRIM(SUBSTITUTE(AS43,CHAR(160),""))),0)*IFERROR(VALUE(TRIM(SUBSTITUTE($AE43,CHAR(160),""))),0)),
$BA43="Devis 3",
IF(ISBLANK(AX43),"",IFERROR(VALUE(TRIM(SUBSTITUTE(AX43,CHAR(160),""))),0)*IFERROR(VALUE(TRIM(SUBSTITUTE($AE43,CHAR(160),""))),0)),
TRUE,0
)
)</f>
        <v/>
      </c>
      <c r="BG43" s="873" t="str" cm="1">
        <f t="array" ref="BG43">IF($AE43="","",
_xlfn.IFS(
$BA43="Devis 1",
IF(ISBLANK(AO43),"",IFERROR(VALUE(TRIM(SUBSTITUTE(AO43,CHAR(160),""))),0)*IFERROR(VALUE(TRIM(SUBSTITUTE($AE43,CHAR(160),""))),0)),
$BA43="Devis 2",
IF(ISBLANK(AT43),"",IFERROR(VALUE(TRIM(SUBSTITUTE(AT43,CHAR(160),""))),0)*IFERROR(VALUE(TRIM(SUBSTITUTE($AE43,CHAR(160),""))),0)),
$BA43="Devis 3",
IF(ISBLANK(AY43),"",IFERROR(VALUE(TRIM(SUBSTITUTE(AY43,CHAR(160),""))),0)*IFERROR(VALUE(TRIM(SUBSTITUTE($AE43,CHAR(160),""))),0)),
TRUE,0
)
)</f>
        <v/>
      </c>
      <c r="BH43" s="874" t="str">
        <f t="shared" si="47"/>
        <v/>
      </c>
      <c r="BI43" s="866"/>
      <c r="BJ43" s="774" t="str" cm="1">
        <f t="array" ref="BJ43">IF(OR(BH43="",BE43="",BF43="",BC43="",BG43="",BD43=""),"",_xlfn.IFS(
ROUND(IFERROR(VALUE(TRIM(SUBSTITUTE(BH43,CHAR(160),""))),0),2)&gt;
ROUND(IFERROR(VALUE(TRIM(SUBSTITUTE(BE43,CHAR(160),""))),0),2),
"KO : Le montant retenu TTC est supérieur au montant raisonnable TTC. Merci de revoir la ligne de dépense ou plafonner son montant.",
ROUND(IFERROR(VALUE(TRIM(SUBSTITUTE(BF43,CHAR(160),""))),0),2)&gt;
ROUND(IFERROR(VALUE(TRIM(SUBSTITUTE(BC43,CHAR(160),""))),0),2),
"Attention : Le montant retenu HT est supérieur au montant HT raisonnable. Merci de revoir la ligne de dépense, plafonner son montant, ou justifier la reventillation HT / TVA.",
ROUND(IFERROR(VALUE(TRIM(SUBSTITUTE(BG43,CHAR(160),""))),0),2)&gt;
ROUND(IFERROR(VALUE(TRIM(SUBSTITUTE(BD43,CHAR(160),""))),0),2),
"Attention : Le montant TVA retenu est supérieur au montant TVA raisonnable. Merci de revoir la ligne de dépense, plafonner son montant, ou justifier la reventillation HT / TVA.",
ROUND(IFERROR(VALUE(TRIM(SUBSTITUTE(BH43,CHAR(160),""))),0),2)&gt;
ROUND(IFERROR(VALUE(TRIM(SUBSTITUTE(MIN(N43,S43,X43),CHAR(160),""))),0),2),
"Attention : Le devis retenu n'est pas le moins cher. Une justification de la part du porteur est nécessaire.",
ROUND(IFERROR(VALUE(TRIM(SUBSTITUTE(BH43,CHAR(160),""))),0),2)=0,
"Attention : montant présenté entièrement écarté",
ROUND(IFERROR(VALUE(TRIM(SUBSTITUTE(BE43,CHAR(160),""))),0),2)=
ROUND(IFERROR(VALUE(TRIM(SUBSTITUTE(BH43,CHAR(160),""))),0),2),
"OK",
ROUND(IFERROR(VALUE(TRIM(SUBSTITUTE(BE43,CHAR(160),""))),0),2)&gt;
ROUND(IFERROR(VALUE(TRIM(SUBSTITUTE(BH43,CHAR(160),""))),0),2),
" OK : Montant instruit inférieur au montant raisonnable.",
TRUE,""
))</f>
        <v/>
      </c>
      <c r="BK43" s="774" t="str" cm="1">
        <f t="array" ref="BK43">IF(OR(BH43="",AB43="",BF43="",Z43="",BG43="",AA43=""),"",_xlfn.IFS(
ROUND(IFERROR(VALUE(TRIM(SUBSTITUTE(BH43,CHAR(160),""))),0),2)&gt;
ROUND(IFERROR(VALUE(TRIM(SUBSTITUTE(AB43,CHAR(160),""))),0),2),
"KO : Le montant retenu TTC est supérieur au montant présenté TTC. Merci de revoir la ligne de dépense ou plafonner son montant.",
ROUND(IFERROR(VALUE(TRIM(SUBSTITUTE(BF43,CHAR(160),""))),0),2)&gt;
ROUND(IFERROR(VALUE(TRIM(SUBSTITUTE(Z43,CHAR(160),""))),0),2),
"Attention : Le montant retenu HT est supérieur au montant HT présenté. Merci de revoir la ligne de dépense, plafonner son montant, ou justifier la reventillation HT / TVA.",
ROUND(IFERROR(VALUE(TRIM(SUBSTITUTE(BG43,CHAR(160),""))),0),2)&gt;
ROUND(IFERROR(VALUE(TRIM(SUBSTITUTE(AA43,CHAR(160),""))),0),2),
"Attention : Le montant TVA retenu est supérieur au montant TVA présenté. Merci de revoir la ligne de dépense, plafonner son montant, ou justifier la reventillation HT / TVA.",
ROUND(IFERROR(VALUE(TRIM(SUBSTITUTE(AB43,CHAR(160),""))),0),2)=0,
"",
ROUND(IFERROR(VALUE(TRIM(SUBSTITUTE(BH43,CHAR(160),""))),0),2)=
ROUND(IFERROR(VALUE(TRIM(SUBSTITUTE(AB43,CHAR(160),""))),0),2),
"OK",
ROUND(IFERROR(VALUE(TRIM(SUBSTITUTE(BH43,CHAR(160),""))),0),2)=0,
"Attention : Montant présenté entièrement rejeté.",
ROUND(IFERROR(VALUE(TRIM(SUBSTITUTE(BH43,CHAR(160),""))),0),2)&lt;
ROUND(IFERROR(VALUE(TRIM(SUBSTITUTE(AB43,CHAR(160),""))),0),2),
"Attention : Montant présenté partiellement rejeté.",
TRUE,""
))</f>
        <v/>
      </c>
      <c r="BL43" s="773" t="str">
        <f t="shared" si="48"/>
        <v/>
      </c>
      <c r="BM43" s="773" t="str">
        <f t="shared" si="49"/>
        <v/>
      </c>
      <c r="BN43" s="773" t="str">
        <f t="shared" si="50"/>
        <v/>
      </c>
    </row>
    <row r="44" spans="1:66" ht="15" customHeight="1">
      <c r="A44" s="193">
        <v>40</v>
      </c>
      <c r="B44" s="7"/>
      <c r="C44" s="9"/>
      <c r="D44" s="30"/>
      <c r="E44" s="36"/>
      <c r="F44" s="34"/>
      <c r="G44" s="35"/>
      <c r="H44" s="685"/>
      <c r="I44" s="786"/>
      <c r="J44" s="792"/>
      <c r="K44" s="758"/>
      <c r="L44" s="761"/>
      <c r="M44" s="762"/>
      <c r="N44" s="808" t="str">
        <f t="shared" si="21"/>
        <v/>
      </c>
      <c r="O44" s="848"/>
      <c r="P44" s="849"/>
      <c r="Q44" s="762"/>
      <c r="R44" s="762"/>
      <c r="S44" s="808" t="str">
        <f t="shared" si="22"/>
        <v/>
      </c>
      <c r="T44" s="850"/>
      <c r="U44" s="847"/>
      <c r="V44" s="762"/>
      <c r="W44" s="762"/>
      <c r="X44" s="830" t="str">
        <f t="shared" si="23"/>
        <v/>
      </c>
      <c r="Y44" s="246"/>
      <c r="Z44" s="284" t="str" cm="1">
        <f t="array" ref="Z44">IF((_xlfn.IFS(TRIM(SUBSTITUTE(Y44,CHAR(160),""))="Devis 1",IFERROR(VALUE(TRIM(SUBSTITUTE(L44,CHAR(160),""))),0),TRIM(SUBSTITUTE(Y44,CHAR(160),""))="Devis 2",IFERROR(VALUE(TRIM(SUBSTITUTE(Q44,CHAR(160),""))),0),TRIM(SUBSTITUTE(Y44,CHAR(160),""))="Devis 3",IFERROR(VALUE(TRIM(SUBSTITUTE(V44,CHAR(160),""))),0),TRUE,0)*IFERROR(VALUE(TRIM(SUBSTITUTE(C44,CHAR(160),""))),0))=0,"",_xlfn.IFS(TRIM(SUBSTITUTE(Y44,CHAR(160),""))="Devis 1",IFERROR(VALUE(TRIM(SUBSTITUTE(L44,CHAR(160),""))),0),TRIM(SUBSTITUTE(Y44,CHAR(160),""))="Devis 2",IFERROR(VALUE(TRIM(SUBSTITUTE(Q44,CHAR(160),""))),0),TRIM(SUBSTITUTE(Y44,CHAR(160),""))="Devis 3",IFERROR(VALUE(TRIM(SUBSTITUTE(V44,CHAR(160),""))),0),TRUE,0)*IFERROR(VALUE(TRIM(SUBSTITUTE(C44,CHAR(160),""))),0))</f>
        <v/>
      </c>
      <c r="AA44" s="275" t="str" cm="1">
        <f t="array" ref="AA44">IF((_xlfn.IFS(TRIM(SUBSTITUTE(Y44,CHAR(160),""))="Devis 1",IFERROR(VALUE(TRIM(SUBSTITUTE(M44,CHAR(160),""))),0),TRIM(SUBSTITUTE(Y44,CHAR(160),""))="Devis 2",IFERROR(VALUE(TRIM(SUBSTITUTE(R44,CHAR(160),""))),0),TRIM(SUBSTITUTE(Y44,CHAR(160),""))="Devis 3",IFERROR(VALUE(TRIM(SUBSTITUTE(W44,CHAR(160),""))),0),TRUE,0)*IFERROR(VALUE(TRIM(SUBSTITUTE(C44,CHAR(160),""))),0))=0,IF(Z44&lt;&gt;"",0,""),_xlfn.IFS(TRIM(SUBSTITUTE(Y44,CHAR(160),""))="Devis 1",IFERROR(VALUE(TRIM(SUBSTITUTE(M44,CHAR(160),""))),0),TRIM(SUBSTITUTE(Y44,CHAR(160),""))="Devis 2",IFERROR(VALUE(TRIM(SUBSTITUTE(R44,CHAR(160),""))),0),TRIM(SUBSTITUTE(Y44,CHAR(160),""))="Devis 3",IFERROR(VALUE(TRIM(SUBSTITUTE(W44,CHAR(160),""))),0),TRUE,0)*IFERROR(VALUE(TRIM(SUBSTITUTE(C44,CHAR(160),""))),0))</f>
        <v/>
      </c>
      <c r="AB44" s="285" t="str">
        <f t="shared" si="24"/>
        <v/>
      </c>
      <c r="AC44" s="209"/>
      <c r="AD44" s="747" t="str">
        <f t="shared" si="51"/>
        <v/>
      </c>
      <c r="AE44" s="747" t="str">
        <f t="shared" si="52"/>
        <v/>
      </c>
      <c r="AF44" s="747" t="str">
        <f t="shared" si="53"/>
        <v/>
      </c>
      <c r="AG44" s="747" t="str">
        <f t="shared" si="54"/>
        <v/>
      </c>
      <c r="AH44" s="747" t="str">
        <f t="shared" si="55"/>
        <v/>
      </c>
      <c r="AI44" s="747" t="str">
        <f t="shared" si="25"/>
        <v/>
      </c>
      <c r="AJ44" s="747" t="str">
        <f t="shared" si="26"/>
        <v/>
      </c>
      <c r="AK44" s="776" t="str">
        <f t="shared" si="27"/>
        <v/>
      </c>
      <c r="AL44" s="802" t="str">
        <f t="shared" si="28"/>
        <v/>
      </c>
      <c r="AM44" s="747" t="str">
        <f t="shared" si="29"/>
        <v/>
      </c>
      <c r="AN44" s="771" t="str">
        <f t="shared" si="30"/>
        <v/>
      </c>
      <c r="AO44" s="771" t="str">
        <f t="shared" si="31"/>
        <v/>
      </c>
      <c r="AP44" s="808" t="str">
        <f t="shared" si="32"/>
        <v/>
      </c>
      <c r="AQ44" s="819" t="str">
        <f t="shared" si="33"/>
        <v/>
      </c>
      <c r="AR44" s="771" t="str">
        <f t="shared" si="34"/>
        <v/>
      </c>
      <c r="AS44" s="771" t="str">
        <f t="shared" si="35"/>
        <v/>
      </c>
      <c r="AT44" s="771" t="str">
        <f t="shared" si="36"/>
        <v/>
      </c>
      <c r="AU44" s="808" t="str">
        <f t="shared" si="37"/>
        <v/>
      </c>
      <c r="AV44" s="842" t="str">
        <f t="shared" si="38"/>
        <v/>
      </c>
      <c r="AW44" s="771" t="str">
        <f t="shared" si="39"/>
        <v/>
      </c>
      <c r="AX44" s="771" t="str">
        <f t="shared" si="40"/>
        <v/>
      </c>
      <c r="AY44" s="771" t="str">
        <f t="shared" si="41"/>
        <v/>
      </c>
      <c r="AZ44" s="831" t="str">
        <f t="shared" si="42"/>
        <v/>
      </c>
      <c r="BA44" s="835" t="str">
        <f t="shared" si="43"/>
        <v/>
      </c>
      <c r="BB44" s="772"/>
      <c r="BC44" s="275" t="str">
        <f t="shared" si="44"/>
        <v/>
      </c>
      <c r="BD44" s="275" t="str">
        <f t="shared" si="45"/>
        <v/>
      </c>
      <c r="BE44" s="886" t="str">
        <f t="shared" si="46"/>
        <v/>
      </c>
      <c r="BF44" s="873" t="str" cm="1">
        <f t="array" ref="BF44">IF($AE44="","",
_xlfn.IFS(
$BA44="Devis 1",
IF(ISBLANK(AN44),"",IFERROR(VALUE(TRIM(SUBSTITUTE(AN44,CHAR(160),""))),0)*IFERROR(VALUE(TRIM(SUBSTITUTE($AE44,CHAR(160),""))),0)),
$BA44="Devis 2",
IF(ISBLANK(AS44),"",IFERROR(VALUE(TRIM(SUBSTITUTE(AS44,CHAR(160),""))),0)*IFERROR(VALUE(TRIM(SUBSTITUTE($AE44,CHAR(160),""))),0)),
$BA44="Devis 3",
IF(ISBLANK(AX44),"",IFERROR(VALUE(TRIM(SUBSTITUTE(AX44,CHAR(160),""))),0)*IFERROR(VALUE(TRIM(SUBSTITUTE($AE44,CHAR(160),""))),0)),
TRUE,0
)
)</f>
        <v/>
      </c>
      <c r="BG44" s="873" t="str" cm="1">
        <f t="array" ref="BG44">IF($AE44="","",
_xlfn.IFS(
$BA44="Devis 1",
IF(ISBLANK(AO44),"",IFERROR(VALUE(TRIM(SUBSTITUTE(AO44,CHAR(160),""))),0)*IFERROR(VALUE(TRIM(SUBSTITUTE($AE44,CHAR(160),""))),0)),
$BA44="Devis 2",
IF(ISBLANK(AT44),"",IFERROR(VALUE(TRIM(SUBSTITUTE(AT44,CHAR(160),""))),0)*IFERROR(VALUE(TRIM(SUBSTITUTE($AE44,CHAR(160),""))),0)),
$BA44="Devis 3",
IF(ISBLANK(AY44),"",IFERROR(VALUE(TRIM(SUBSTITUTE(AY44,CHAR(160),""))),0)*IFERROR(VALUE(TRIM(SUBSTITUTE($AE44,CHAR(160),""))),0)),
TRUE,0
)
)</f>
        <v/>
      </c>
      <c r="BH44" s="874" t="str">
        <f t="shared" si="47"/>
        <v/>
      </c>
      <c r="BI44" s="866"/>
      <c r="BJ44" s="774" t="str" cm="1">
        <f t="array" ref="BJ44">IF(OR(BH44="",BE44="",BF44="",BC44="",BG44="",BD44=""),"",_xlfn.IFS(
ROUND(IFERROR(VALUE(TRIM(SUBSTITUTE(BH44,CHAR(160),""))),0),2)&gt;
ROUND(IFERROR(VALUE(TRIM(SUBSTITUTE(BE44,CHAR(160),""))),0),2),
"KO : Le montant retenu TTC est supérieur au montant raisonnable TTC. Merci de revoir la ligne de dépense ou plafonner son montant.",
ROUND(IFERROR(VALUE(TRIM(SUBSTITUTE(BF44,CHAR(160),""))),0),2)&gt;
ROUND(IFERROR(VALUE(TRIM(SUBSTITUTE(BC44,CHAR(160),""))),0),2),
"Attention : Le montant retenu HT est supérieur au montant HT raisonnable. Merci de revoir la ligne de dépense, plafonner son montant, ou justifier la reventillation HT / TVA.",
ROUND(IFERROR(VALUE(TRIM(SUBSTITUTE(BG44,CHAR(160),""))),0),2)&gt;
ROUND(IFERROR(VALUE(TRIM(SUBSTITUTE(BD44,CHAR(160),""))),0),2),
"Attention : Le montant TVA retenu est supérieur au montant TVA raisonnable. Merci de revoir la ligne de dépense, plafonner son montant, ou justifier la reventillation HT / TVA.",
ROUND(IFERROR(VALUE(TRIM(SUBSTITUTE(BH44,CHAR(160),""))),0),2)&gt;
ROUND(IFERROR(VALUE(TRIM(SUBSTITUTE(MIN(N44,S44,X44),CHAR(160),""))),0),2),
"Attention : Le devis retenu n'est pas le moins cher. Une justification de la part du porteur est nécessaire.",
ROUND(IFERROR(VALUE(TRIM(SUBSTITUTE(BH44,CHAR(160),""))),0),2)=0,
"Attention : montant présenté entièrement écarté",
ROUND(IFERROR(VALUE(TRIM(SUBSTITUTE(BE44,CHAR(160),""))),0),2)=
ROUND(IFERROR(VALUE(TRIM(SUBSTITUTE(BH44,CHAR(160),""))),0),2),
"OK",
ROUND(IFERROR(VALUE(TRIM(SUBSTITUTE(BE44,CHAR(160),""))),0),2)&gt;
ROUND(IFERROR(VALUE(TRIM(SUBSTITUTE(BH44,CHAR(160),""))),0),2),
" OK : Montant instruit inférieur au montant raisonnable.",
TRUE,""
))</f>
        <v/>
      </c>
      <c r="BK44" s="774" t="str" cm="1">
        <f t="array" ref="BK44">IF(OR(BH44="",AB44="",BF44="",Z44="",BG44="",AA44=""),"",_xlfn.IFS(
ROUND(IFERROR(VALUE(TRIM(SUBSTITUTE(BH44,CHAR(160),""))),0),2)&gt;
ROUND(IFERROR(VALUE(TRIM(SUBSTITUTE(AB44,CHAR(160),""))),0),2),
"KO : Le montant retenu TTC est supérieur au montant présenté TTC. Merci de revoir la ligne de dépense ou plafonner son montant.",
ROUND(IFERROR(VALUE(TRIM(SUBSTITUTE(BF44,CHAR(160),""))),0),2)&gt;
ROUND(IFERROR(VALUE(TRIM(SUBSTITUTE(Z44,CHAR(160),""))),0),2),
"Attention : Le montant retenu HT est supérieur au montant HT présenté. Merci de revoir la ligne de dépense, plafonner son montant, ou justifier la reventillation HT / TVA.",
ROUND(IFERROR(VALUE(TRIM(SUBSTITUTE(BG44,CHAR(160),""))),0),2)&gt;
ROUND(IFERROR(VALUE(TRIM(SUBSTITUTE(AA44,CHAR(160),""))),0),2),
"Attention : Le montant TVA retenu est supérieur au montant TVA présenté. Merci de revoir la ligne de dépense, plafonner son montant, ou justifier la reventillation HT / TVA.",
ROUND(IFERROR(VALUE(TRIM(SUBSTITUTE(AB44,CHAR(160),""))),0),2)=0,
"",
ROUND(IFERROR(VALUE(TRIM(SUBSTITUTE(BH44,CHAR(160),""))),0),2)=
ROUND(IFERROR(VALUE(TRIM(SUBSTITUTE(AB44,CHAR(160),""))),0),2),
"OK",
ROUND(IFERROR(VALUE(TRIM(SUBSTITUTE(BH44,CHAR(160),""))),0),2)=0,
"Attention : Montant présenté entièrement rejeté.",
ROUND(IFERROR(VALUE(TRIM(SUBSTITUTE(BH44,CHAR(160),""))),0),2)&lt;
ROUND(IFERROR(VALUE(TRIM(SUBSTITUTE(AB44,CHAR(160),""))),0),2),
"Attention : Montant présenté partiellement rejeté.",
TRUE,""
))</f>
        <v/>
      </c>
      <c r="BL44" s="773" t="str">
        <f t="shared" si="48"/>
        <v/>
      </c>
      <c r="BM44" s="773" t="str">
        <f t="shared" si="49"/>
        <v/>
      </c>
      <c r="BN44" s="773" t="str">
        <f t="shared" si="50"/>
        <v/>
      </c>
    </row>
    <row r="45" spans="1:66" ht="15" customHeight="1">
      <c r="A45" s="193">
        <v>41</v>
      </c>
      <c r="B45" s="7"/>
      <c r="C45" s="9"/>
      <c r="D45" s="30"/>
      <c r="E45" s="36"/>
      <c r="F45" s="34"/>
      <c r="G45" s="35"/>
      <c r="H45" s="685"/>
      <c r="I45" s="786"/>
      <c r="J45" s="792"/>
      <c r="K45" s="758"/>
      <c r="L45" s="761"/>
      <c r="M45" s="762"/>
      <c r="N45" s="808" t="str">
        <f t="shared" si="21"/>
        <v/>
      </c>
      <c r="O45" s="848"/>
      <c r="P45" s="847"/>
      <c r="Q45" s="762"/>
      <c r="R45" s="762"/>
      <c r="S45" s="808" t="str">
        <f t="shared" si="22"/>
        <v/>
      </c>
      <c r="T45" s="850"/>
      <c r="U45" s="847"/>
      <c r="V45" s="762"/>
      <c r="W45" s="762"/>
      <c r="X45" s="830" t="str">
        <f t="shared" si="23"/>
        <v/>
      </c>
      <c r="Y45" s="246"/>
      <c r="Z45" s="284" t="str" cm="1">
        <f t="array" ref="Z45">IF((_xlfn.IFS(TRIM(SUBSTITUTE(Y45,CHAR(160),""))="Devis 1",IFERROR(VALUE(TRIM(SUBSTITUTE(L45,CHAR(160),""))),0),TRIM(SUBSTITUTE(Y45,CHAR(160),""))="Devis 2",IFERROR(VALUE(TRIM(SUBSTITUTE(Q45,CHAR(160),""))),0),TRIM(SUBSTITUTE(Y45,CHAR(160),""))="Devis 3",IFERROR(VALUE(TRIM(SUBSTITUTE(V45,CHAR(160),""))),0),TRUE,0)*IFERROR(VALUE(TRIM(SUBSTITUTE(C45,CHAR(160),""))),0))=0,"",_xlfn.IFS(TRIM(SUBSTITUTE(Y45,CHAR(160),""))="Devis 1",IFERROR(VALUE(TRIM(SUBSTITUTE(L45,CHAR(160),""))),0),TRIM(SUBSTITUTE(Y45,CHAR(160),""))="Devis 2",IFERROR(VALUE(TRIM(SUBSTITUTE(Q45,CHAR(160),""))),0),TRIM(SUBSTITUTE(Y45,CHAR(160),""))="Devis 3",IFERROR(VALUE(TRIM(SUBSTITUTE(V45,CHAR(160),""))),0),TRUE,0)*IFERROR(VALUE(TRIM(SUBSTITUTE(C45,CHAR(160),""))),0))</f>
        <v/>
      </c>
      <c r="AA45" s="275" t="str" cm="1">
        <f t="array" ref="AA45">IF((_xlfn.IFS(TRIM(SUBSTITUTE(Y45,CHAR(160),""))="Devis 1",IFERROR(VALUE(TRIM(SUBSTITUTE(M45,CHAR(160),""))),0),TRIM(SUBSTITUTE(Y45,CHAR(160),""))="Devis 2",IFERROR(VALUE(TRIM(SUBSTITUTE(R45,CHAR(160),""))),0),TRIM(SUBSTITUTE(Y45,CHAR(160),""))="Devis 3",IFERROR(VALUE(TRIM(SUBSTITUTE(W45,CHAR(160),""))),0),TRUE,0)*IFERROR(VALUE(TRIM(SUBSTITUTE(C45,CHAR(160),""))),0))=0,IF(Z45&lt;&gt;"",0,""),_xlfn.IFS(TRIM(SUBSTITUTE(Y45,CHAR(160),""))="Devis 1",IFERROR(VALUE(TRIM(SUBSTITUTE(M45,CHAR(160),""))),0),TRIM(SUBSTITUTE(Y45,CHAR(160),""))="Devis 2",IFERROR(VALUE(TRIM(SUBSTITUTE(R45,CHAR(160),""))),0),TRIM(SUBSTITUTE(Y45,CHAR(160),""))="Devis 3",IFERROR(VALUE(TRIM(SUBSTITUTE(W45,CHAR(160),""))),0),TRUE,0)*IFERROR(VALUE(TRIM(SUBSTITUTE(C45,CHAR(160),""))),0))</f>
        <v/>
      </c>
      <c r="AB45" s="285" t="str">
        <f t="shared" si="24"/>
        <v/>
      </c>
      <c r="AC45" s="209"/>
      <c r="AD45" s="747" t="str">
        <f t="shared" si="51"/>
        <v/>
      </c>
      <c r="AE45" s="747" t="str">
        <f t="shared" si="52"/>
        <v/>
      </c>
      <c r="AF45" s="747" t="str">
        <f t="shared" si="53"/>
        <v/>
      </c>
      <c r="AG45" s="747" t="str">
        <f t="shared" si="54"/>
        <v/>
      </c>
      <c r="AH45" s="747" t="str">
        <f t="shared" si="55"/>
        <v/>
      </c>
      <c r="AI45" s="747" t="str">
        <f t="shared" si="25"/>
        <v/>
      </c>
      <c r="AJ45" s="747" t="str">
        <f t="shared" si="26"/>
        <v/>
      </c>
      <c r="AK45" s="776" t="str">
        <f t="shared" si="27"/>
        <v/>
      </c>
      <c r="AL45" s="802" t="str">
        <f t="shared" si="28"/>
        <v/>
      </c>
      <c r="AM45" s="747" t="str">
        <f t="shared" si="29"/>
        <v/>
      </c>
      <c r="AN45" s="771" t="str">
        <f t="shared" si="30"/>
        <v/>
      </c>
      <c r="AO45" s="771" t="str">
        <f t="shared" si="31"/>
        <v/>
      </c>
      <c r="AP45" s="808" t="str">
        <f t="shared" si="32"/>
        <v/>
      </c>
      <c r="AQ45" s="819" t="str">
        <f t="shared" si="33"/>
        <v/>
      </c>
      <c r="AR45" s="771" t="str">
        <f t="shared" si="34"/>
        <v/>
      </c>
      <c r="AS45" s="771" t="str">
        <f t="shared" si="35"/>
        <v/>
      </c>
      <c r="AT45" s="771" t="str">
        <f t="shared" si="36"/>
        <v/>
      </c>
      <c r="AU45" s="808" t="str">
        <f t="shared" si="37"/>
        <v/>
      </c>
      <c r="AV45" s="842" t="str">
        <f t="shared" si="38"/>
        <v/>
      </c>
      <c r="AW45" s="771" t="str">
        <f t="shared" si="39"/>
        <v/>
      </c>
      <c r="AX45" s="771" t="str">
        <f t="shared" si="40"/>
        <v/>
      </c>
      <c r="AY45" s="771" t="str">
        <f t="shared" si="41"/>
        <v/>
      </c>
      <c r="AZ45" s="831" t="str">
        <f t="shared" si="42"/>
        <v/>
      </c>
      <c r="BA45" s="835" t="str">
        <f t="shared" si="43"/>
        <v/>
      </c>
      <c r="BB45" s="772"/>
      <c r="BC45" s="275" t="str">
        <f t="shared" si="44"/>
        <v/>
      </c>
      <c r="BD45" s="275" t="str">
        <f t="shared" si="45"/>
        <v/>
      </c>
      <c r="BE45" s="886" t="str">
        <f t="shared" si="46"/>
        <v/>
      </c>
      <c r="BF45" s="873" t="str" cm="1">
        <f t="array" ref="BF45">IF($AE45="","",
_xlfn.IFS(
$BA45="Devis 1",
IF(ISBLANK(AN45),"",IFERROR(VALUE(TRIM(SUBSTITUTE(AN45,CHAR(160),""))),0)*IFERROR(VALUE(TRIM(SUBSTITUTE($AE45,CHAR(160),""))),0)),
$BA45="Devis 2",
IF(ISBLANK(AS45),"",IFERROR(VALUE(TRIM(SUBSTITUTE(AS45,CHAR(160),""))),0)*IFERROR(VALUE(TRIM(SUBSTITUTE($AE45,CHAR(160),""))),0)),
$BA45="Devis 3",
IF(ISBLANK(AX45),"",IFERROR(VALUE(TRIM(SUBSTITUTE(AX45,CHAR(160),""))),0)*IFERROR(VALUE(TRIM(SUBSTITUTE($AE45,CHAR(160),""))),0)),
TRUE,0
)
)</f>
        <v/>
      </c>
      <c r="BG45" s="873" t="str" cm="1">
        <f t="array" ref="BG45">IF($AE45="","",
_xlfn.IFS(
$BA45="Devis 1",
IF(ISBLANK(AO45),"",IFERROR(VALUE(TRIM(SUBSTITUTE(AO45,CHAR(160),""))),0)*IFERROR(VALUE(TRIM(SUBSTITUTE($AE45,CHAR(160),""))),0)),
$BA45="Devis 2",
IF(ISBLANK(AT45),"",IFERROR(VALUE(TRIM(SUBSTITUTE(AT45,CHAR(160),""))),0)*IFERROR(VALUE(TRIM(SUBSTITUTE($AE45,CHAR(160),""))),0)),
$BA45="Devis 3",
IF(ISBLANK(AY45),"",IFERROR(VALUE(TRIM(SUBSTITUTE(AY45,CHAR(160),""))),0)*IFERROR(VALUE(TRIM(SUBSTITUTE($AE45,CHAR(160),""))),0)),
TRUE,0
)
)</f>
        <v/>
      </c>
      <c r="BH45" s="874" t="str">
        <f t="shared" si="47"/>
        <v/>
      </c>
      <c r="BI45" s="866"/>
      <c r="BJ45" s="774" t="str" cm="1">
        <f t="array" ref="BJ45">IF(OR(BH45="",BE45="",BF45="",BC45="",BG45="",BD45=""),"",_xlfn.IFS(
ROUND(IFERROR(VALUE(TRIM(SUBSTITUTE(BH45,CHAR(160),""))),0),2)&gt;
ROUND(IFERROR(VALUE(TRIM(SUBSTITUTE(BE45,CHAR(160),""))),0),2),
"KO : Le montant retenu TTC est supérieur au montant raisonnable TTC. Merci de revoir la ligne de dépense ou plafonner son montant.",
ROUND(IFERROR(VALUE(TRIM(SUBSTITUTE(BF45,CHAR(160),""))),0),2)&gt;
ROUND(IFERROR(VALUE(TRIM(SUBSTITUTE(BC45,CHAR(160),""))),0),2),
"Attention : Le montant retenu HT est supérieur au montant HT raisonnable. Merci de revoir la ligne de dépense, plafonner son montant, ou justifier la reventillation HT / TVA.",
ROUND(IFERROR(VALUE(TRIM(SUBSTITUTE(BG45,CHAR(160),""))),0),2)&gt;
ROUND(IFERROR(VALUE(TRIM(SUBSTITUTE(BD45,CHAR(160),""))),0),2),
"Attention : Le montant TVA retenu est supérieur au montant TVA raisonnable. Merci de revoir la ligne de dépense, plafonner son montant, ou justifier la reventillation HT / TVA.",
ROUND(IFERROR(VALUE(TRIM(SUBSTITUTE(BH45,CHAR(160),""))),0),2)&gt;
ROUND(IFERROR(VALUE(TRIM(SUBSTITUTE(MIN(N45,S45,X45),CHAR(160),""))),0),2),
"Attention : Le devis retenu n'est pas le moins cher. Une justification de la part du porteur est nécessaire.",
ROUND(IFERROR(VALUE(TRIM(SUBSTITUTE(BH45,CHAR(160),""))),0),2)=0,
"Attention : montant présenté entièrement écarté",
ROUND(IFERROR(VALUE(TRIM(SUBSTITUTE(BE45,CHAR(160),""))),0),2)=
ROUND(IFERROR(VALUE(TRIM(SUBSTITUTE(BH45,CHAR(160),""))),0),2),
"OK",
ROUND(IFERROR(VALUE(TRIM(SUBSTITUTE(BE45,CHAR(160),""))),0),2)&gt;
ROUND(IFERROR(VALUE(TRIM(SUBSTITUTE(BH45,CHAR(160),""))),0),2),
" OK : Montant instruit inférieur au montant raisonnable.",
TRUE,""
))</f>
        <v/>
      </c>
      <c r="BK45" s="774" t="str" cm="1">
        <f t="array" ref="BK45">IF(OR(BH45="",AB45="",BF45="",Z45="",BG45="",AA45=""),"",_xlfn.IFS(
ROUND(IFERROR(VALUE(TRIM(SUBSTITUTE(BH45,CHAR(160),""))),0),2)&gt;
ROUND(IFERROR(VALUE(TRIM(SUBSTITUTE(AB45,CHAR(160),""))),0),2),
"KO : Le montant retenu TTC est supérieur au montant présenté TTC. Merci de revoir la ligne de dépense ou plafonner son montant.",
ROUND(IFERROR(VALUE(TRIM(SUBSTITUTE(BF45,CHAR(160),""))),0),2)&gt;
ROUND(IFERROR(VALUE(TRIM(SUBSTITUTE(Z45,CHAR(160),""))),0),2),
"Attention : Le montant retenu HT est supérieur au montant HT présenté. Merci de revoir la ligne de dépense, plafonner son montant, ou justifier la reventillation HT / TVA.",
ROUND(IFERROR(VALUE(TRIM(SUBSTITUTE(BG45,CHAR(160),""))),0),2)&gt;
ROUND(IFERROR(VALUE(TRIM(SUBSTITUTE(AA45,CHAR(160),""))),0),2),
"Attention : Le montant TVA retenu est supérieur au montant TVA présenté. Merci de revoir la ligne de dépense, plafonner son montant, ou justifier la reventillation HT / TVA.",
ROUND(IFERROR(VALUE(TRIM(SUBSTITUTE(AB45,CHAR(160),""))),0),2)=0,
"",
ROUND(IFERROR(VALUE(TRIM(SUBSTITUTE(BH45,CHAR(160),""))),0),2)=
ROUND(IFERROR(VALUE(TRIM(SUBSTITUTE(AB45,CHAR(160),""))),0),2),
"OK",
ROUND(IFERROR(VALUE(TRIM(SUBSTITUTE(BH45,CHAR(160),""))),0),2)=0,
"Attention : Montant présenté entièrement rejeté.",
ROUND(IFERROR(VALUE(TRIM(SUBSTITUTE(BH45,CHAR(160),""))),0),2)&lt;
ROUND(IFERROR(VALUE(TRIM(SUBSTITUTE(AB45,CHAR(160),""))),0),2),
"Attention : Montant présenté partiellement rejeté.",
TRUE,""
))</f>
        <v/>
      </c>
      <c r="BL45" s="773" t="str">
        <f t="shared" si="48"/>
        <v/>
      </c>
      <c r="BM45" s="773" t="str">
        <f t="shared" si="49"/>
        <v/>
      </c>
      <c r="BN45" s="773" t="str">
        <f t="shared" si="50"/>
        <v/>
      </c>
    </row>
    <row r="46" spans="1:66" ht="15" customHeight="1">
      <c r="A46" s="193">
        <v>42</v>
      </c>
      <c r="B46" s="7"/>
      <c r="C46" s="9"/>
      <c r="D46" s="30"/>
      <c r="E46" s="36"/>
      <c r="F46" s="34"/>
      <c r="G46" s="35"/>
      <c r="H46" s="685"/>
      <c r="I46" s="786"/>
      <c r="J46" s="792"/>
      <c r="K46" s="758"/>
      <c r="L46" s="761"/>
      <c r="M46" s="762"/>
      <c r="N46" s="808" t="str">
        <f t="shared" si="21"/>
        <v/>
      </c>
      <c r="O46" s="848"/>
      <c r="P46" s="847"/>
      <c r="Q46" s="762"/>
      <c r="R46" s="762"/>
      <c r="S46" s="808" t="str">
        <f t="shared" si="22"/>
        <v/>
      </c>
      <c r="T46" s="850"/>
      <c r="U46" s="847"/>
      <c r="V46" s="762"/>
      <c r="W46" s="762"/>
      <c r="X46" s="830" t="str">
        <f t="shared" si="23"/>
        <v/>
      </c>
      <c r="Y46" s="246"/>
      <c r="Z46" s="284" t="str" cm="1">
        <f t="array" ref="Z46">IF((_xlfn.IFS(TRIM(SUBSTITUTE(Y46,CHAR(160),""))="Devis 1",IFERROR(VALUE(TRIM(SUBSTITUTE(L46,CHAR(160),""))),0),TRIM(SUBSTITUTE(Y46,CHAR(160),""))="Devis 2",IFERROR(VALUE(TRIM(SUBSTITUTE(Q46,CHAR(160),""))),0),TRIM(SUBSTITUTE(Y46,CHAR(160),""))="Devis 3",IFERROR(VALUE(TRIM(SUBSTITUTE(V46,CHAR(160),""))),0),TRUE,0)*IFERROR(VALUE(TRIM(SUBSTITUTE(C46,CHAR(160),""))),0))=0,"",_xlfn.IFS(TRIM(SUBSTITUTE(Y46,CHAR(160),""))="Devis 1",IFERROR(VALUE(TRIM(SUBSTITUTE(L46,CHAR(160),""))),0),TRIM(SUBSTITUTE(Y46,CHAR(160),""))="Devis 2",IFERROR(VALUE(TRIM(SUBSTITUTE(Q46,CHAR(160),""))),0),TRIM(SUBSTITUTE(Y46,CHAR(160),""))="Devis 3",IFERROR(VALUE(TRIM(SUBSTITUTE(V46,CHAR(160),""))),0),TRUE,0)*IFERROR(VALUE(TRIM(SUBSTITUTE(C46,CHAR(160),""))),0))</f>
        <v/>
      </c>
      <c r="AA46" s="275" t="str" cm="1">
        <f t="array" ref="AA46">IF((_xlfn.IFS(TRIM(SUBSTITUTE(Y46,CHAR(160),""))="Devis 1",IFERROR(VALUE(TRIM(SUBSTITUTE(M46,CHAR(160),""))),0),TRIM(SUBSTITUTE(Y46,CHAR(160),""))="Devis 2",IFERROR(VALUE(TRIM(SUBSTITUTE(R46,CHAR(160),""))),0),TRIM(SUBSTITUTE(Y46,CHAR(160),""))="Devis 3",IFERROR(VALUE(TRIM(SUBSTITUTE(W46,CHAR(160),""))),0),TRUE,0)*IFERROR(VALUE(TRIM(SUBSTITUTE(C46,CHAR(160),""))),0))=0,IF(Z46&lt;&gt;"",0,""),_xlfn.IFS(TRIM(SUBSTITUTE(Y46,CHAR(160),""))="Devis 1",IFERROR(VALUE(TRIM(SUBSTITUTE(M46,CHAR(160),""))),0),TRIM(SUBSTITUTE(Y46,CHAR(160),""))="Devis 2",IFERROR(VALUE(TRIM(SUBSTITUTE(R46,CHAR(160),""))),0),TRIM(SUBSTITUTE(Y46,CHAR(160),""))="Devis 3",IFERROR(VALUE(TRIM(SUBSTITUTE(W46,CHAR(160),""))),0),TRUE,0)*IFERROR(VALUE(TRIM(SUBSTITUTE(C46,CHAR(160),""))),0))</f>
        <v/>
      </c>
      <c r="AB46" s="285" t="str">
        <f t="shared" si="24"/>
        <v/>
      </c>
      <c r="AC46" s="209"/>
      <c r="AD46" s="747" t="str">
        <f t="shared" si="51"/>
        <v/>
      </c>
      <c r="AE46" s="747" t="str">
        <f t="shared" si="52"/>
        <v/>
      </c>
      <c r="AF46" s="747" t="str">
        <f t="shared" si="53"/>
        <v/>
      </c>
      <c r="AG46" s="747" t="str">
        <f t="shared" si="54"/>
        <v/>
      </c>
      <c r="AH46" s="747" t="str">
        <f t="shared" si="55"/>
        <v/>
      </c>
      <c r="AI46" s="747" t="str">
        <f t="shared" si="25"/>
        <v/>
      </c>
      <c r="AJ46" s="747" t="str">
        <f t="shared" si="26"/>
        <v/>
      </c>
      <c r="AK46" s="776" t="str">
        <f t="shared" si="27"/>
        <v/>
      </c>
      <c r="AL46" s="802" t="str">
        <f t="shared" si="28"/>
        <v/>
      </c>
      <c r="AM46" s="747" t="str">
        <f t="shared" si="29"/>
        <v/>
      </c>
      <c r="AN46" s="771" t="str">
        <f t="shared" si="30"/>
        <v/>
      </c>
      <c r="AO46" s="771" t="str">
        <f t="shared" si="31"/>
        <v/>
      </c>
      <c r="AP46" s="808" t="str">
        <f t="shared" si="32"/>
        <v/>
      </c>
      <c r="AQ46" s="819" t="str">
        <f t="shared" si="33"/>
        <v/>
      </c>
      <c r="AR46" s="771" t="str">
        <f t="shared" si="34"/>
        <v/>
      </c>
      <c r="AS46" s="771" t="str">
        <f t="shared" si="35"/>
        <v/>
      </c>
      <c r="AT46" s="771" t="str">
        <f t="shared" si="36"/>
        <v/>
      </c>
      <c r="AU46" s="808" t="str">
        <f t="shared" si="37"/>
        <v/>
      </c>
      <c r="AV46" s="842" t="str">
        <f t="shared" si="38"/>
        <v/>
      </c>
      <c r="AW46" s="771" t="str">
        <f t="shared" si="39"/>
        <v/>
      </c>
      <c r="AX46" s="771" t="str">
        <f t="shared" si="40"/>
        <v/>
      </c>
      <c r="AY46" s="771" t="str">
        <f t="shared" si="41"/>
        <v/>
      </c>
      <c r="AZ46" s="831" t="str">
        <f t="shared" si="42"/>
        <v/>
      </c>
      <c r="BA46" s="835" t="str">
        <f t="shared" si="43"/>
        <v/>
      </c>
      <c r="BB46" s="772"/>
      <c r="BC46" s="275" t="str">
        <f t="shared" si="44"/>
        <v/>
      </c>
      <c r="BD46" s="275" t="str">
        <f t="shared" si="45"/>
        <v/>
      </c>
      <c r="BE46" s="886" t="str">
        <f t="shared" si="46"/>
        <v/>
      </c>
      <c r="BF46" s="873" t="str" cm="1">
        <f t="array" ref="BF46">IF($AE46="","",
_xlfn.IFS(
$BA46="Devis 1",
IF(ISBLANK(AN46),"",IFERROR(VALUE(TRIM(SUBSTITUTE(AN46,CHAR(160),""))),0)*IFERROR(VALUE(TRIM(SUBSTITUTE($AE46,CHAR(160),""))),0)),
$BA46="Devis 2",
IF(ISBLANK(AS46),"",IFERROR(VALUE(TRIM(SUBSTITUTE(AS46,CHAR(160),""))),0)*IFERROR(VALUE(TRIM(SUBSTITUTE($AE46,CHAR(160),""))),0)),
$BA46="Devis 3",
IF(ISBLANK(AX46),"",IFERROR(VALUE(TRIM(SUBSTITUTE(AX46,CHAR(160),""))),0)*IFERROR(VALUE(TRIM(SUBSTITUTE($AE46,CHAR(160),""))),0)),
TRUE,0
)
)</f>
        <v/>
      </c>
      <c r="BG46" s="873" t="str" cm="1">
        <f t="array" ref="BG46">IF($AE46="","",
_xlfn.IFS(
$BA46="Devis 1",
IF(ISBLANK(AO46),"",IFERROR(VALUE(TRIM(SUBSTITUTE(AO46,CHAR(160),""))),0)*IFERROR(VALUE(TRIM(SUBSTITUTE($AE46,CHAR(160),""))),0)),
$BA46="Devis 2",
IF(ISBLANK(AT46),"",IFERROR(VALUE(TRIM(SUBSTITUTE(AT46,CHAR(160),""))),0)*IFERROR(VALUE(TRIM(SUBSTITUTE($AE46,CHAR(160),""))),0)),
$BA46="Devis 3",
IF(ISBLANK(AY46),"",IFERROR(VALUE(TRIM(SUBSTITUTE(AY46,CHAR(160),""))),0)*IFERROR(VALUE(TRIM(SUBSTITUTE($AE46,CHAR(160),""))),0)),
TRUE,0
)
)</f>
        <v/>
      </c>
      <c r="BH46" s="874" t="str">
        <f t="shared" si="47"/>
        <v/>
      </c>
      <c r="BI46" s="866"/>
      <c r="BJ46" s="774" t="str" cm="1">
        <f t="array" ref="BJ46">IF(OR(BH46="",BE46="",BF46="",BC46="",BG46="",BD46=""),"",_xlfn.IFS(
ROUND(IFERROR(VALUE(TRIM(SUBSTITUTE(BH46,CHAR(160),""))),0),2)&gt;
ROUND(IFERROR(VALUE(TRIM(SUBSTITUTE(BE46,CHAR(160),""))),0),2),
"KO : Le montant retenu TTC est supérieur au montant raisonnable TTC. Merci de revoir la ligne de dépense ou plafonner son montant.",
ROUND(IFERROR(VALUE(TRIM(SUBSTITUTE(BF46,CHAR(160),""))),0),2)&gt;
ROUND(IFERROR(VALUE(TRIM(SUBSTITUTE(BC46,CHAR(160),""))),0),2),
"Attention : Le montant retenu HT est supérieur au montant HT raisonnable. Merci de revoir la ligne de dépense, plafonner son montant, ou justifier la reventillation HT / TVA.",
ROUND(IFERROR(VALUE(TRIM(SUBSTITUTE(BG46,CHAR(160),""))),0),2)&gt;
ROUND(IFERROR(VALUE(TRIM(SUBSTITUTE(BD46,CHAR(160),""))),0),2),
"Attention : Le montant TVA retenu est supérieur au montant TVA raisonnable. Merci de revoir la ligne de dépense, plafonner son montant, ou justifier la reventillation HT / TVA.",
ROUND(IFERROR(VALUE(TRIM(SUBSTITUTE(BH46,CHAR(160),""))),0),2)&gt;
ROUND(IFERROR(VALUE(TRIM(SUBSTITUTE(MIN(N46,S46,X46),CHAR(160),""))),0),2),
"Attention : Le devis retenu n'est pas le moins cher. Une justification de la part du porteur est nécessaire.",
ROUND(IFERROR(VALUE(TRIM(SUBSTITUTE(BH46,CHAR(160),""))),0),2)=0,
"Attention : montant présenté entièrement écarté",
ROUND(IFERROR(VALUE(TRIM(SUBSTITUTE(BE46,CHAR(160),""))),0),2)=
ROUND(IFERROR(VALUE(TRIM(SUBSTITUTE(BH46,CHAR(160),""))),0),2),
"OK",
ROUND(IFERROR(VALUE(TRIM(SUBSTITUTE(BE46,CHAR(160),""))),0),2)&gt;
ROUND(IFERROR(VALUE(TRIM(SUBSTITUTE(BH46,CHAR(160),""))),0),2),
" OK : Montant instruit inférieur au montant raisonnable.",
TRUE,""
))</f>
        <v/>
      </c>
      <c r="BK46" s="774" t="str" cm="1">
        <f t="array" ref="BK46">IF(OR(BH46="",AB46="",BF46="",Z46="",BG46="",AA46=""),"",_xlfn.IFS(
ROUND(IFERROR(VALUE(TRIM(SUBSTITUTE(BH46,CHAR(160),""))),0),2)&gt;
ROUND(IFERROR(VALUE(TRIM(SUBSTITUTE(AB46,CHAR(160),""))),0),2),
"KO : Le montant retenu TTC est supérieur au montant présenté TTC. Merci de revoir la ligne de dépense ou plafonner son montant.",
ROUND(IFERROR(VALUE(TRIM(SUBSTITUTE(BF46,CHAR(160),""))),0),2)&gt;
ROUND(IFERROR(VALUE(TRIM(SUBSTITUTE(Z46,CHAR(160),""))),0),2),
"Attention : Le montant retenu HT est supérieur au montant HT présenté. Merci de revoir la ligne de dépense, plafonner son montant, ou justifier la reventillation HT / TVA.",
ROUND(IFERROR(VALUE(TRIM(SUBSTITUTE(BG46,CHAR(160),""))),0),2)&gt;
ROUND(IFERROR(VALUE(TRIM(SUBSTITUTE(AA46,CHAR(160),""))),0),2),
"Attention : Le montant TVA retenu est supérieur au montant TVA présenté. Merci de revoir la ligne de dépense, plafonner son montant, ou justifier la reventillation HT / TVA.",
ROUND(IFERROR(VALUE(TRIM(SUBSTITUTE(AB46,CHAR(160),""))),0),2)=0,
"",
ROUND(IFERROR(VALUE(TRIM(SUBSTITUTE(BH46,CHAR(160),""))),0),2)=
ROUND(IFERROR(VALUE(TRIM(SUBSTITUTE(AB46,CHAR(160),""))),0),2),
"OK",
ROUND(IFERROR(VALUE(TRIM(SUBSTITUTE(BH46,CHAR(160),""))),0),2)=0,
"Attention : Montant présenté entièrement rejeté.",
ROUND(IFERROR(VALUE(TRIM(SUBSTITUTE(BH46,CHAR(160),""))),0),2)&lt;
ROUND(IFERROR(VALUE(TRIM(SUBSTITUTE(AB46,CHAR(160),""))),0),2),
"Attention : Montant présenté partiellement rejeté.",
TRUE,""
))</f>
        <v/>
      </c>
      <c r="BL46" s="773" t="str">
        <f t="shared" si="48"/>
        <v/>
      </c>
      <c r="BM46" s="773" t="str">
        <f t="shared" si="49"/>
        <v/>
      </c>
      <c r="BN46" s="773" t="str">
        <f t="shared" si="50"/>
        <v/>
      </c>
    </row>
    <row r="47" spans="1:66" ht="15" customHeight="1">
      <c r="A47" s="193">
        <v>43</v>
      </c>
      <c r="B47" s="7"/>
      <c r="C47" s="9"/>
      <c r="D47" s="30"/>
      <c r="E47" s="36"/>
      <c r="F47" s="34"/>
      <c r="G47" s="35"/>
      <c r="H47" s="685"/>
      <c r="I47" s="786"/>
      <c r="J47" s="792"/>
      <c r="K47" s="758"/>
      <c r="L47" s="761"/>
      <c r="M47" s="762"/>
      <c r="N47" s="808" t="str">
        <f t="shared" si="21"/>
        <v/>
      </c>
      <c r="O47" s="848"/>
      <c r="P47" s="847"/>
      <c r="Q47" s="762"/>
      <c r="R47" s="762"/>
      <c r="S47" s="808" t="str">
        <f t="shared" si="22"/>
        <v/>
      </c>
      <c r="T47" s="850"/>
      <c r="U47" s="847"/>
      <c r="V47" s="762"/>
      <c r="W47" s="762"/>
      <c r="X47" s="830" t="str">
        <f t="shared" si="23"/>
        <v/>
      </c>
      <c r="Y47" s="246"/>
      <c r="Z47" s="284" t="str" cm="1">
        <f t="array" ref="Z47">IF((_xlfn.IFS(TRIM(SUBSTITUTE(Y47,CHAR(160),""))="Devis 1",IFERROR(VALUE(TRIM(SUBSTITUTE(L47,CHAR(160),""))),0),TRIM(SUBSTITUTE(Y47,CHAR(160),""))="Devis 2",IFERROR(VALUE(TRIM(SUBSTITUTE(Q47,CHAR(160),""))),0),TRIM(SUBSTITUTE(Y47,CHAR(160),""))="Devis 3",IFERROR(VALUE(TRIM(SUBSTITUTE(V47,CHAR(160),""))),0),TRUE,0)*IFERROR(VALUE(TRIM(SUBSTITUTE(C47,CHAR(160),""))),0))=0,"",_xlfn.IFS(TRIM(SUBSTITUTE(Y47,CHAR(160),""))="Devis 1",IFERROR(VALUE(TRIM(SUBSTITUTE(L47,CHAR(160),""))),0),TRIM(SUBSTITUTE(Y47,CHAR(160),""))="Devis 2",IFERROR(VALUE(TRIM(SUBSTITUTE(Q47,CHAR(160),""))),0),TRIM(SUBSTITUTE(Y47,CHAR(160),""))="Devis 3",IFERROR(VALUE(TRIM(SUBSTITUTE(V47,CHAR(160),""))),0),TRUE,0)*IFERROR(VALUE(TRIM(SUBSTITUTE(C47,CHAR(160),""))),0))</f>
        <v/>
      </c>
      <c r="AA47" s="275" t="str" cm="1">
        <f t="array" ref="AA47">IF((_xlfn.IFS(TRIM(SUBSTITUTE(Y47,CHAR(160),""))="Devis 1",IFERROR(VALUE(TRIM(SUBSTITUTE(M47,CHAR(160),""))),0),TRIM(SUBSTITUTE(Y47,CHAR(160),""))="Devis 2",IFERROR(VALUE(TRIM(SUBSTITUTE(R47,CHAR(160),""))),0),TRIM(SUBSTITUTE(Y47,CHAR(160),""))="Devis 3",IFERROR(VALUE(TRIM(SUBSTITUTE(W47,CHAR(160),""))),0),TRUE,0)*IFERROR(VALUE(TRIM(SUBSTITUTE(C47,CHAR(160),""))),0))=0,IF(Z47&lt;&gt;"",0,""),_xlfn.IFS(TRIM(SUBSTITUTE(Y47,CHAR(160),""))="Devis 1",IFERROR(VALUE(TRIM(SUBSTITUTE(M47,CHAR(160),""))),0),TRIM(SUBSTITUTE(Y47,CHAR(160),""))="Devis 2",IFERROR(VALUE(TRIM(SUBSTITUTE(R47,CHAR(160),""))),0),TRIM(SUBSTITUTE(Y47,CHAR(160),""))="Devis 3",IFERROR(VALUE(TRIM(SUBSTITUTE(W47,CHAR(160),""))),0),TRUE,0)*IFERROR(VALUE(TRIM(SUBSTITUTE(C47,CHAR(160),""))),0))</f>
        <v/>
      </c>
      <c r="AB47" s="285" t="str">
        <f t="shared" si="24"/>
        <v/>
      </c>
      <c r="AC47" s="209"/>
      <c r="AD47" s="747" t="str">
        <f t="shared" si="51"/>
        <v/>
      </c>
      <c r="AE47" s="747" t="str">
        <f t="shared" si="52"/>
        <v/>
      </c>
      <c r="AF47" s="747" t="str">
        <f t="shared" si="53"/>
        <v/>
      </c>
      <c r="AG47" s="747" t="str">
        <f t="shared" si="54"/>
        <v/>
      </c>
      <c r="AH47" s="747" t="str">
        <f t="shared" si="55"/>
        <v/>
      </c>
      <c r="AI47" s="747" t="str">
        <f t="shared" si="25"/>
        <v/>
      </c>
      <c r="AJ47" s="747" t="str">
        <f t="shared" si="26"/>
        <v/>
      </c>
      <c r="AK47" s="776" t="str">
        <f t="shared" si="27"/>
        <v/>
      </c>
      <c r="AL47" s="802" t="str">
        <f t="shared" si="28"/>
        <v/>
      </c>
      <c r="AM47" s="747" t="str">
        <f t="shared" si="29"/>
        <v/>
      </c>
      <c r="AN47" s="771" t="str">
        <f t="shared" si="30"/>
        <v/>
      </c>
      <c r="AO47" s="771" t="str">
        <f t="shared" si="31"/>
        <v/>
      </c>
      <c r="AP47" s="808" t="str">
        <f t="shared" si="32"/>
        <v/>
      </c>
      <c r="AQ47" s="819" t="str">
        <f t="shared" si="33"/>
        <v/>
      </c>
      <c r="AR47" s="771" t="str">
        <f t="shared" si="34"/>
        <v/>
      </c>
      <c r="AS47" s="771" t="str">
        <f t="shared" si="35"/>
        <v/>
      </c>
      <c r="AT47" s="771" t="str">
        <f t="shared" si="36"/>
        <v/>
      </c>
      <c r="AU47" s="808" t="str">
        <f t="shared" si="37"/>
        <v/>
      </c>
      <c r="AV47" s="842" t="str">
        <f t="shared" si="38"/>
        <v/>
      </c>
      <c r="AW47" s="771" t="str">
        <f t="shared" si="39"/>
        <v/>
      </c>
      <c r="AX47" s="771" t="str">
        <f t="shared" si="40"/>
        <v/>
      </c>
      <c r="AY47" s="771" t="str">
        <f t="shared" si="41"/>
        <v/>
      </c>
      <c r="AZ47" s="831" t="str">
        <f t="shared" si="42"/>
        <v/>
      </c>
      <c r="BA47" s="835" t="str">
        <f t="shared" si="43"/>
        <v/>
      </c>
      <c r="BB47" s="772"/>
      <c r="BC47" s="275" t="str">
        <f t="shared" si="44"/>
        <v/>
      </c>
      <c r="BD47" s="275" t="str">
        <f t="shared" si="45"/>
        <v/>
      </c>
      <c r="BE47" s="886" t="str">
        <f t="shared" si="46"/>
        <v/>
      </c>
      <c r="BF47" s="873" t="str" cm="1">
        <f t="array" ref="BF47">IF($AE47="","",
_xlfn.IFS(
$BA47="Devis 1",
IF(ISBLANK(AN47),"",IFERROR(VALUE(TRIM(SUBSTITUTE(AN47,CHAR(160),""))),0)*IFERROR(VALUE(TRIM(SUBSTITUTE($AE47,CHAR(160),""))),0)),
$BA47="Devis 2",
IF(ISBLANK(AS47),"",IFERROR(VALUE(TRIM(SUBSTITUTE(AS47,CHAR(160),""))),0)*IFERROR(VALUE(TRIM(SUBSTITUTE($AE47,CHAR(160),""))),0)),
$BA47="Devis 3",
IF(ISBLANK(AX47),"",IFERROR(VALUE(TRIM(SUBSTITUTE(AX47,CHAR(160),""))),0)*IFERROR(VALUE(TRIM(SUBSTITUTE($AE47,CHAR(160),""))),0)),
TRUE,0
)
)</f>
        <v/>
      </c>
      <c r="BG47" s="873" t="str" cm="1">
        <f t="array" ref="BG47">IF($AE47="","",
_xlfn.IFS(
$BA47="Devis 1",
IF(ISBLANK(AO47),"",IFERROR(VALUE(TRIM(SUBSTITUTE(AO47,CHAR(160),""))),0)*IFERROR(VALUE(TRIM(SUBSTITUTE($AE47,CHAR(160),""))),0)),
$BA47="Devis 2",
IF(ISBLANK(AT47),"",IFERROR(VALUE(TRIM(SUBSTITUTE(AT47,CHAR(160),""))),0)*IFERROR(VALUE(TRIM(SUBSTITUTE($AE47,CHAR(160),""))),0)),
$BA47="Devis 3",
IF(ISBLANK(AY47),"",IFERROR(VALUE(TRIM(SUBSTITUTE(AY47,CHAR(160),""))),0)*IFERROR(VALUE(TRIM(SUBSTITUTE($AE47,CHAR(160),""))),0)),
TRUE,0
)
)</f>
        <v/>
      </c>
      <c r="BH47" s="874" t="str">
        <f t="shared" si="47"/>
        <v/>
      </c>
      <c r="BI47" s="866"/>
      <c r="BJ47" s="774" t="str" cm="1">
        <f t="array" ref="BJ47">IF(OR(BH47="",BE47="",BF47="",BC47="",BG47="",BD47=""),"",_xlfn.IFS(
ROUND(IFERROR(VALUE(TRIM(SUBSTITUTE(BH47,CHAR(160),""))),0),2)&gt;
ROUND(IFERROR(VALUE(TRIM(SUBSTITUTE(BE47,CHAR(160),""))),0),2),
"KO : Le montant retenu TTC est supérieur au montant raisonnable TTC. Merci de revoir la ligne de dépense ou plafonner son montant.",
ROUND(IFERROR(VALUE(TRIM(SUBSTITUTE(BF47,CHAR(160),""))),0),2)&gt;
ROUND(IFERROR(VALUE(TRIM(SUBSTITUTE(BC47,CHAR(160),""))),0),2),
"Attention : Le montant retenu HT est supérieur au montant HT raisonnable. Merci de revoir la ligne de dépense, plafonner son montant, ou justifier la reventillation HT / TVA.",
ROUND(IFERROR(VALUE(TRIM(SUBSTITUTE(BG47,CHAR(160),""))),0),2)&gt;
ROUND(IFERROR(VALUE(TRIM(SUBSTITUTE(BD47,CHAR(160),""))),0),2),
"Attention : Le montant TVA retenu est supérieur au montant TVA raisonnable. Merci de revoir la ligne de dépense, plafonner son montant, ou justifier la reventillation HT / TVA.",
ROUND(IFERROR(VALUE(TRIM(SUBSTITUTE(BH47,CHAR(160),""))),0),2)&gt;
ROUND(IFERROR(VALUE(TRIM(SUBSTITUTE(MIN(N47,S47,X47),CHAR(160),""))),0),2),
"Attention : Le devis retenu n'est pas le moins cher. Une justification de la part du porteur est nécessaire.",
ROUND(IFERROR(VALUE(TRIM(SUBSTITUTE(BH47,CHAR(160),""))),0),2)=0,
"Attention : montant présenté entièrement écarté",
ROUND(IFERROR(VALUE(TRIM(SUBSTITUTE(BE47,CHAR(160),""))),0),2)=
ROUND(IFERROR(VALUE(TRIM(SUBSTITUTE(BH47,CHAR(160),""))),0),2),
"OK",
ROUND(IFERROR(VALUE(TRIM(SUBSTITUTE(BE47,CHAR(160),""))),0),2)&gt;
ROUND(IFERROR(VALUE(TRIM(SUBSTITUTE(BH47,CHAR(160),""))),0),2),
" OK : Montant instruit inférieur au montant raisonnable.",
TRUE,""
))</f>
        <v/>
      </c>
      <c r="BK47" s="774" t="str" cm="1">
        <f t="array" ref="BK47">IF(OR(BH47="",AB47="",BF47="",Z47="",BG47="",AA47=""),"",_xlfn.IFS(
ROUND(IFERROR(VALUE(TRIM(SUBSTITUTE(BH47,CHAR(160),""))),0),2)&gt;
ROUND(IFERROR(VALUE(TRIM(SUBSTITUTE(AB47,CHAR(160),""))),0),2),
"KO : Le montant retenu TTC est supérieur au montant présenté TTC. Merci de revoir la ligne de dépense ou plafonner son montant.",
ROUND(IFERROR(VALUE(TRIM(SUBSTITUTE(BF47,CHAR(160),""))),0),2)&gt;
ROUND(IFERROR(VALUE(TRIM(SUBSTITUTE(Z47,CHAR(160),""))),0),2),
"Attention : Le montant retenu HT est supérieur au montant HT présenté. Merci de revoir la ligne de dépense, plafonner son montant, ou justifier la reventillation HT / TVA.",
ROUND(IFERROR(VALUE(TRIM(SUBSTITUTE(BG47,CHAR(160),""))),0),2)&gt;
ROUND(IFERROR(VALUE(TRIM(SUBSTITUTE(AA47,CHAR(160),""))),0),2),
"Attention : Le montant TVA retenu est supérieur au montant TVA présenté. Merci de revoir la ligne de dépense, plafonner son montant, ou justifier la reventillation HT / TVA.",
ROUND(IFERROR(VALUE(TRIM(SUBSTITUTE(AB47,CHAR(160),""))),0),2)=0,
"",
ROUND(IFERROR(VALUE(TRIM(SUBSTITUTE(BH47,CHAR(160),""))),0),2)=
ROUND(IFERROR(VALUE(TRIM(SUBSTITUTE(AB47,CHAR(160),""))),0),2),
"OK",
ROUND(IFERROR(VALUE(TRIM(SUBSTITUTE(BH47,CHAR(160),""))),0),2)=0,
"Attention : Montant présenté entièrement rejeté.",
ROUND(IFERROR(VALUE(TRIM(SUBSTITUTE(BH47,CHAR(160),""))),0),2)&lt;
ROUND(IFERROR(VALUE(TRIM(SUBSTITUTE(AB47,CHAR(160),""))),0),2),
"Attention : Montant présenté partiellement rejeté.",
TRUE,""
))</f>
        <v/>
      </c>
      <c r="BL47" s="773" t="str">
        <f t="shared" si="48"/>
        <v/>
      </c>
      <c r="BM47" s="773" t="str">
        <f t="shared" si="49"/>
        <v/>
      </c>
      <c r="BN47" s="773" t="str">
        <f t="shared" si="50"/>
        <v/>
      </c>
    </row>
    <row r="48" spans="1:66" ht="15" customHeight="1">
      <c r="A48" s="193">
        <v>44</v>
      </c>
      <c r="B48" s="7"/>
      <c r="C48" s="9"/>
      <c r="D48" s="30"/>
      <c r="E48" s="36"/>
      <c r="F48" s="34"/>
      <c r="G48" s="35"/>
      <c r="H48" s="685"/>
      <c r="I48" s="786"/>
      <c r="J48" s="792"/>
      <c r="K48" s="758"/>
      <c r="L48" s="761"/>
      <c r="M48" s="762"/>
      <c r="N48" s="808" t="str">
        <f t="shared" si="21"/>
        <v/>
      </c>
      <c r="O48" s="848"/>
      <c r="P48" s="847"/>
      <c r="Q48" s="762"/>
      <c r="R48" s="762"/>
      <c r="S48" s="808" t="str">
        <f t="shared" si="22"/>
        <v/>
      </c>
      <c r="T48" s="850"/>
      <c r="U48" s="847"/>
      <c r="V48" s="762"/>
      <c r="W48" s="762"/>
      <c r="X48" s="830" t="str">
        <f t="shared" si="23"/>
        <v/>
      </c>
      <c r="Y48" s="246"/>
      <c r="Z48" s="284" t="str" cm="1">
        <f t="array" ref="Z48">IF((_xlfn.IFS(TRIM(SUBSTITUTE(Y48,CHAR(160),""))="Devis 1",IFERROR(VALUE(TRIM(SUBSTITUTE(L48,CHAR(160),""))),0),TRIM(SUBSTITUTE(Y48,CHAR(160),""))="Devis 2",IFERROR(VALUE(TRIM(SUBSTITUTE(Q48,CHAR(160),""))),0),TRIM(SUBSTITUTE(Y48,CHAR(160),""))="Devis 3",IFERROR(VALUE(TRIM(SUBSTITUTE(V48,CHAR(160),""))),0),TRUE,0)*IFERROR(VALUE(TRIM(SUBSTITUTE(C48,CHAR(160),""))),0))=0,"",_xlfn.IFS(TRIM(SUBSTITUTE(Y48,CHAR(160),""))="Devis 1",IFERROR(VALUE(TRIM(SUBSTITUTE(L48,CHAR(160),""))),0),TRIM(SUBSTITUTE(Y48,CHAR(160),""))="Devis 2",IFERROR(VALUE(TRIM(SUBSTITUTE(Q48,CHAR(160),""))),0),TRIM(SUBSTITUTE(Y48,CHAR(160),""))="Devis 3",IFERROR(VALUE(TRIM(SUBSTITUTE(V48,CHAR(160),""))),0),TRUE,0)*IFERROR(VALUE(TRIM(SUBSTITUTE(C48,CHAR(160),""))),0))</f>
        <v/>
      </c>
      <c r="AA48" s="275" t="str" cm="1">
        <f t="array" ref="AA48">IF((_xlfn.IFS(TRIM(SUBSTITUTE(Y48,CHAR(160),""))="Devis 1",IFERROR(VALUE(TRIM(SUBSTITUTE(M48,CHAR(160),""))),0),TRIM(SUBSTITUTE(Y48,CHAR(160),""))="Devis 2",IFERROR(VALUE(TRIM(SUBSTITUTE(R48,CHAR(160),""))),0),TRIM(SUBSTITUTE(Y48,CHAR(160),""))="Devis 3",IFERROR(VALUE(TRIM(SUBSTITUTE(W48,CHAR(160),""))),0),TRUE,0)*IFERROR(VALUE(TRIM(SUBSTITUTE(C48,CHAR(160),""))),0))=0,IF(Z48&lt;&gt;"",0,""),_xlfn.IFS(TRIM(SUBSTITUTE(Y48,CHAR(160),""))="Devis 1",IFERROR(VALUE(TRIM(SUBSTITUTE(M48,CHAR(160),""))),0),TRIM(SUBSTITUTE(Y48,CHAR(160),""))="Devis 2",IFERROR(VALUE(TRIM(SUBSTITUTE(R48,CHAR(160),""))),0),TRIM(SUBSTITUTE(Y48,CHAR(160),""))="Devis 3",IFERROR(VALUE(TRIM(SUBSTITUTE(W48,CHAR(160),""))),0),TRUE,0)*IFERROR(VALUE(TRIM(SUBSTITUTE(C48,CHAR(160),""))),0))</f>
        <v/>
      </c>
      <c r="AB48" s="285" t="str">
        <f t="shared" si="24"/>
        <v/>
      </c>
      <c r="AC48" s="209"/>
      <c r="AD48" s="747" t="str">
        <f t="shared" si="51"/>
        <v/>
      </c>
      <c r="AE48" s="747" t="str">
        <f t="shared" si="52"/>
        <v/>
      </c>
      <c r="AF48" s="747" t="str">
        <f t="shared" si="53"/>
        <v/>
      </c>
      <c r="AG48" s="747" t="str">
        <f t="shared" si="54"/>
        <v/>
      </c>
      <c r="AH48" s="747" t="str">
        <f t="shared" si="55"/>
        <v/>
      </c>
      <c r="AI48" s="747" t="str">
        <f t="shared" si="25"/>
        <v/>
      </c>
      <c r="AJ48" s="747" t="str">
        <f t="shared" si="26"/>
        <v/>
      </c>
      <c r="AK48" s="776" t="str">
        <f t="shared" si="27"/>
        <v/>
      </c>
      <c r="AL48" s="802" t="str">
        <f t="shared" si="28"/>
        <v/>
      </c>
      <c r="AM48" s="747" t="str">
        <f t="shared" si="29"/>
        <v/>
      </c>
      <c r="AN48" s="771" t="str">
        <f t="shared" si="30"/>
        <v/>
      </c>
      <c r="AO48" s="771" t="str">
        <f t="shared" si="31"/>
        <v/>
      </c>
      <c r="AP48" s="808" t="str">
        <f t="shared" si="32"/>
        <v/>
      </c>
      <c r="AQ48" s="819" t="str">
        <f t="shared" si="33"/>
        <v/>
      </c>
      <c r="AR48" s="771" t="str">
        <f t="shared" si="34"/>
        <v/>
      </c>
      <c r="AS48" s="771" t="str">
        <f t="shared" si="35"/>
        <v/>
      </c>
      <c r="AT48" s="771" t="str">
        <f t="shared" si="36"/>
        <v/>
      </c>
      <c r="AU48" s="808" t="str">
        <f t="shared" si="37"/>
        <v/>
      </c>
      <c r="AV48" s="842" t="str">
        <f t="shared" si="38"/>
        <v/>
      </c>
      <c r="AW48" s="771" t="str">
        <f t="shared" si="39"/>
        <v/>
      </c>
      <c r="AX48" s="771" t="str">
        <f t="shared" si="40"/>
        <v/>
      </c>
      <c r="AY48" s="771" t="str">
        <f t="shared" si="41"/>
        <v/>
      </c>
      <c r="AZ48" s="831" t="str">
        <f t="shared" si="42"/>
        <v/>
      </c>
      <c r="BA48" s="835" t="str">
        <f t="shared" si="43"/>
        <v/>
      </c>
      <c r="BB48" s="772"/>
      <c r="BC48" s="275" t="str">
        <f t="shared" si="44"/>
        <v/>
      </c>
      <c r="BD48" s="275" t="str">
        <f t="shared" si="45"/>
        <v/>
      </c>
      <c r="BE48" s="886" t="str">
        <f t="shared" si="46"/>
        <v/>
      </c>
      <c r="BF48" s="873" t="str" cm="1">
        <f t="array" ref="BF48">IF($AE48="","",
_xlfn.IFS(
$BA48="Devis 1",
IF(ISBLANK(AN48),"",IFERROR(VALUE(TRIM(SUBSTITUTE(AN48,CHAR(160),""))),0)*IFERROR(VALUE(TRIM(SUBSTITUTE($AE48,CHAR(160),""))),0)),
$BA48="Devis 2",
IF(ISBLANK(AS48),"",IFERROR(VALUE(TRIM(SUBSTITUTE(AS48,CHAR(160),""))),0)*IFERROR(VALUE(TRIM(SUBSTITUTE($AE48,CHAR(160),""))),0)),
$BA48="Devis 3",
IF(ISBLANK(AX48),"",IFERROR(VALUE(TRIM(SUBSTITUTE(AX48,CHAR(160),""))),0)*IFERROR(VALUE(TRIM(SUBSTITUTE($AE48,CHAR(160),""))),0)),
TRUE,0
)
)</f>
        <v/>
      </c>
      <c r="BG48" s="873" t="str" cm="1">
        <f t="array" ref="BG48">IF($AE48="","",
_xlfn.IFS(
$BA48="Devis 1",
IF(ISBLANK(AO48),"",IFERROR(VALUE(TRIM(SUBSTITUTE(AO48,CHAR(160),""))),0)*IFERROR(VALUE(TRIM(SUBSTITUTE($AE48,CHAR(160),""))),0)),
$BA48="Devis 2",
IF(ISBLANK(AT48),"",IFERROR(VALUE(TRIM(SUBSTITUTE(AT48,CHAR(160),""))),0)*IFERROR(VALUE(TRIM(SUBSTITUTE($AE48,CHAR(160),""))),0)),
$BA48="Devis 3",
IF(ISBLANK(AY48),"",IFERROR(VALUE(TRIM(SUBSTITUTE(AY48,CHAR(160),""))),0)*IFERROR(VALUE(TRIM(SUBSTITUTE($AE48,CHAR(160),""))),0)),
TRUE,0
)
)</f>
        <v/>
      </c>
      <c r="BH48" s="874" t="str">
        <f t="shared" si="47"/>
        <v/>
      </c>
      <c r="BI48" s="866"/>
      <c r="BJ48" s="774" t="str" cm="1">
        <f t="array" ref="BJ48">IF(OR(BH48="",BE48="",BF48="",BC48="",BG48="",BD48=""),"",_xlfn.IFS(
ROUND(IFERROR(VALUE(TRIM(SUBSTITUTE(BH48,CHAR(160),""))),0),2)&gt;
ROUND(IFERROR(VALUE(TRIM(SUBSTITUTE(BE48,CHAR(160),""))),0),2),
"KO : Le montant retenu TTC est supérieur au montant raisonnable TTC. Merci de revoir la ligne de dépense ou plafonner son montant.",
ROUND(IFERROR(VALUE(TRIM(SUBSTITUTE(BF48,CHAR(160),""))),0),2)&gt;
ROUND(IFERROR(VALUE(TRIM(SUBSTITUTE(BC48,CHAR(160),""))),0),2),
"Attention : Le montant retenu HT est supérieur au montant HT raisonnable. Merci de revoir la ligne de dépense, plafonner son montant, ou justifier la reventillation HT / TVA.",
ROUND(IFERROR(VALUE(TRIM(SUBSTITUTE(BG48,CHAR(160),""))),0),2)&gt;
ROUND(IFERROR(VALUE(TRIM(SUBSTITUTE(BD48,CHAR(160),""))),0),2),
"Attention : Le montant TVA retenu est supérieur au montant TVA raisonnable. Merci de revoir la ligne de dépense, plafonner son montant, ou justifier la reventillation HT / TVA.",
ROUND(IFERROR(VALUE(TRIM(SUBSTITUTE(BH48,CHAR(160),""))),0),2)&gt;
ROUND(IFERROR(VALUE(TRIM(SUBSTITUTE(MIN(N48,S48,X48),CHAR(160),""))),0),2),
"Attention : Le devis retenu n'est pas le moins cher. Une justification de la part du porteur est nécessaire.",
ROUND(IFERROR(VALUE(TRIM(SUBSTITUTE(BH48,CHAR(160),""))),0),2)=0,
"Attention : montant présenté entièrement écarté",
ROUND(IFERROR(VALUE(TRIM(SUBSTITUTE(BE48,CHAR(160),""))),0),2)=
ROUND(IFERROR(VALUE(TRIM(SUBSTITUTE(BH48,CHAR(160),""))),0),2),
"OK",
ROUND(IFERROR(VALUE(TRIM(SUBSTITUTE(BE48,CHAR(160),""))),0),2)&gt;
ROUND(IFERROR(VALUE(TRIM(SUBSTITUTE(BH48,CHAR(160),""))),0),2),
" OK : Montant instruit inférieur au montant raisonnable.",
TRUE,""
))</f>
        <v/>
      </c>
      <c r="BK48" s="774" t="str" cm="1">
        <f t="array" ref="BK48">IF(OR(BH48="",AB48="",BF48="",Z48="",BG48="",AA48=""),"",_xlfn.IFS(
ROUND(IFERROR(VALUE(TRIM(SUBSTITUTE(BH48,CHAR(160),""))),0),2)&gt;
ROUND(IFERROR(VALUE(TRIM(SUBSTITUTE(AB48,CHAR(160),""))),0),2),
"KO : Le montant retenu TTC est supérieur au montant présenté TTC. Merci de revoir la ligne de dépense ou plafonner son montant.",
ROUND(IFERROR(VALUE(TRIM(SUBSTITUTE(BF48,CHAR(160),""))),0),2)&gt;
ROUND(IFERROR(VALUE(TRIM(SUBSTITUTE(Z48,CHAR(160),""))),0),2),
"Attention : Le montant retenu HT est supérieur au montant HT présenté. Merci de revoir la ligne de dépense, plafonner son montant, ou justifier la reventillation HT / TVA.",
ROUND(IFERROR(VALUE(TRIM(SUBSTITUTE(BG48,CHAR(160),""))),0),2)&gt;
ROUND(IFERROR(VALUE(TRIM(SUBSTITUTE(AA48,CHAR(160),""))),0),2),
"Attention : Le montant TVA retenu est supérieur au montant TVA présenté. Merci de revoir la ligne de dépense, plafonner son montant, ou justifier la reventillation HT / TVA.",
ROUND(IFERROR(VALUE(TRIM(SUBSTITUTE(AB48,CHAR(160),""))),0),2)=0,
"",
ROUND(IFERROR(VALUE(TRIM(SUBSTITUTE(BH48,CHAR(160),""))),0),2)=
ROUND(IFERROR(VALUE(TRIM(SUBSTITUTE(AB48,CHAR(160),""))),0),2),
"OK",
ROUND(IFERROR(VALUE(TRIM(SUBSTITUTE(BH48,CHAR(160),""))),0),2)=0,
"Attention : Montant présenté entièrement rejeté.",
ROUND(IFERROR(VALUE(TRIM(SUBSTITUTE(BH48,CHAR(160),""))),0),2)&lt;
ROUND(IFERROR(VALUE(TRIM(SUBSTITUTE(AB48,CHAR(160),""))),0),2),
"Attention : Montant présenté partiellement rejeté.",
TRUE,""
))</f>
        <v/>
      </c>
      <c r="BL48" s="773" t="str">
        <f t="shared" si="48"/>
        <v/>
      </c>
      <c r="BM48" s="773" t="str">
        <f t="shared" si="49"/>
        <v/>
      </c>
      <c r="BN48" s="773" t="str">
        <f t="shared" si="50"/>
        <v/>
      </c>
    </row>
    <row r="49" spans="1:66" ht="15" customHeight="1">
      <c r="A49" s="193">
        <v>45</v>
      </c>
      <c r="B49" s="7"/>
      <c r="C49" s="9"/>
      <c r="D49" s="30"/>
      <c r="E49" s="36"/>
      <c r="F49" s="34"/>
      <c r="G49" s="35"/>
      <c r="H49" s="685"/>
      <c r="I49" s="786"/>
      <c r="J49" s="792"/>
      <c r="K49" s="758"/>
      <c r="L49" s="761"/>
      <c r="M49" s="762"/>
      <c r="N49" s="808" t="str">
        <f t="shared" si="21"/>
        <v/>
      </c>
      <c r="O49" s="848"/>
      <c r="P49" s="847"/>
      <c r="Q49" s="762"/>
      <c r="R49" s="762"/>
      <c r="S49" s="808" t="str">
        <f t="shared" si="22"/>
        <v/>
      </c>
      <c r="T49" s="850"/>
      <c r="U49" s="847"/>
      <c r="V49" s="762"/>
      <c r="W49" s="762"/>
      <c r="X49" s="830" t="str">
        <f t="shared" si="23"/>
        <v/>
      </c>
      <c r="Y49" s="246"/>
      <c r="Z49" s="284" t="str" cm="1">
        <f t="array" ref="Z49">IF((_xlfn.IFS(TRIM(SUBSTITUTE(Y49,CHAR(160),""))="Devis 1",IFERROR(VALUE(TRIM(SUBSTITUTE(L49,CHAR(160),""))),0),TRIM(SUBSTITUTE(Y49,CHAR(160),""))="Devis 2",IFERROR(VALUE(TRIM(SUBSTITUTE(Q49,CHAR(160),""))),0),TRIM(SUBSTITUTE(Y49,CHAR(160),""))="Devis 3",IFERROR(VALUE(TRIM(SUBSTITUTE(V49,CHAR(160),""))),0),TRUE,0)*IFERROR(VALUE(TRIM(SUBSTITUTE(C49,CHAR(160),""))),0))=0,"",_xlfn.IFS(TRIM(SUBSTITUTE(Y49,CHAR(160),""))="Devis 1",IFERROR(VALUE(TRIM(SUBSTITUTE(L49,CHAR(160),""))),0),TRIM(SUBSTITUTE(Y49,CHAR(160),""))="Devis 2",IFERROR(VALUE(TRIM(SUBSTITUTE(Q49,CHAR(160),""))),0),TRIM(SUBSTITUTE(Y49,CHAR(160),""))="Devis 3",IFERROR(VALUE(TRIM(SUBSTITUTE(V49,CHAR(160),""))),0),TRUE,0)*IFERROR(VALUE(TRIM(SUBSTITUTE(C49,CHAR(160),""))),0))</f>
        <v/>
      </c>
      <c r="AA49" s="275" t="str" cm="1">
        <f t="array" ref="AA49">IF((_xlfn.IFS(TRIM(SUBSTITUTE(Y49,CHAR(160),""))="Devis 1",IFERROR(VALUE(TRIM(SUBSTITUTE(M49,CHAR(160),""))),0),TRIM(SUBSTITUTE(Y49,CHAR(160),""))="Devis 2",IFERROR(VALUE(TRIM(SUBSTITUTE(R49,CHAR(160),""))),0),TRIM(SUBSTITUTE(Y49,CHAR(160),""))="Devis 3",IFERROR(VALUE(TRIM(SUBSTITUTE(W49,CHAR(160),""))),0),TRUE,0)*IFERROR(VALUE(TRIM(SUBSTITUTE(C49,CHAR(160),""))),0))=0,IF(Z49&lt;&gt;"",0,""),_xlfn.IFS(TRIM(SUBSTITUTE(Y49,CHAR(160),""))="Devis 1",IFERROR(VALUE(TRIM(SUBSTITUTE(M49,CHAR(160),""))),0),TRIM(SUBSTITUTE(Y49,CHAR(160),""))="Devis 2",IFERROR(VALUE(TRIM(SUBSTITUTE(R49,CHAR(160),""))),0),TRIM(SUBSTITUTE(Y49,CHAR(160),""))="Devis 3",IFERROR(VALUE(TRIM(SUBSTITUTE(W49,CHAR(160),""))),0),TRUE,0)*IFERROR(VALUE(TRIM(SUBSTITUTE(C49,CHAR(160),""))),0))</f>
        <v/>
      </c>
      <c r="AB49" s="285" t="str">
        <f t="shared" si="24"/>
        <v/>
      </c>
      <c r="AC49" s="209"/>
      <c r="AD49" s="747" t="str">
        <f t="shared" si="51"/>
        <v/>
      </c>
      <c r="AE49" s="747" t="str">
        <f t="shared" si="52"/>
        <v/>
      </c>
      <c r="AF49" s="747" t="str">
        <f t="shared" si="53"/>
        <v/>
      </c>
      <c r="AG49" s="747" t="str">
        <f t="shared" si="54"/>
        <v/>
      </c>
      <c r="AH49" s="747" t="str">
        <f t="shared" si="55"/>
        <v/>
      </c>
      <c r="AI49" s="747" t="str">
        <f t="shared" si="25"/>
        <v/>
      </c>
      <c r="AJ49" s="747" t="str">
        <f t="shared" si="26"/>
        <v/>
      </c>
      <c r="AK49" s="776" t="str">
        <f t="shared" si="27"/>
        <v/>
      </c>
      <c r="AL49" s="802" t="str">
        <f t="shared" si="28"/>
        <v/>
      </c>
      <c r="AM49" s="747" t="str">
        <f t="shared" si="29"/>
        <v/>
      </c>
      <c r="AN49" s="771" t="str">
        <f t="shared" si="30"/>
        <v/>
      </c>
      <c r="AO49" s="771" t="str">
        <f t="shared" si="31"/>
        <v/>
      </c>
      <c r="AP49" s="808" t="str">
        <f t="shared" si="32"/>
        <v/>
      </c>
      <c r="AQ49" s="819" t="str">
        <f t="shared" si="33"/>
        <v/>
      </c>
      <c r="AR49" s="771" t="str">
        <f t="shared" si="34"/>
        <v/>
      </c>
      <c r="AS49" s="771" t="str">
        <f t="shared" si="35"/>
        <v/>
      </c>
      <c r="AT49" s="771" t="str">
        <f t="shared" si="36"/>
        <v/>
      </c>
      <c r="AU49" s="808" t="str">
        <f t="shared" si="37"/>
        <v/>
      </c>
      <c r="AV49" s="842" t="str">
        <f t="shared" si="38"/>
        <v/>
      </c>
      <c r="AW49" s="771" t="str">
        <f t="shared" si="39"/>
        <v/>
      </c>
      <c r="AX49" s="771" t="str">
        <f t="shared" si="40"/>
        <v/>
      </c>
      <c r="AY49" s="771" t="str">
        <f t="shared" si="41"/>
        <v/>
      </c>
      <c r="AZ49" s="831" t="str">
        <f t="shared" si="42"/>
        <v/>
      </c>
      <c r="BA49" s="835" t="str">
        <f t="shared" si="43"/>
        <v/>
      </c>
      <c r="BB49" s="772"/>
      <c r="BC49" s="275" t="str">
        <f t="shared" si="44"/>
        <v/>
      </c>
      <c r="BD49" s="275" t="str">
        <f t="shared" si="45"/>
        <v/>
      </c>
      <c r="BE49" s="886" t="str">
        <f t="shared" si="46"/>
        <v/>
      </c>
      <c r="BF49" s="873" t="str" cm="1">
        <f t="array" ref="BF49">IF($AE49="","",
_xlfn.IFS(
$BA49="Devis 1",
IF(ISBLANK(AN49),"",IFERROR(VALUE(TRIM(SUBSTITUTE(AN49,CHAR(160),""))),0)*IFERROR(VALUE(TRIM(SUBSTITUTE($AE49,CHAR(160),""))),0)),
$BA49="Devis 2",
IF(ISBLANK(AS49),"",IFERROR(VALUE(TRIM(SUBSTITUTE(AS49,CHAR(160),""))),0)*IFERROR(VALUE(TRIM(SUBSTITUTE($AE49,CHAR(160),""))),0)),
$BA49="Devis 3",
IF(ISBLANK(AX49),"",IFERROR(VALUE(TRIM(SUBSTITUTE(AX49,CHAR(160),""))),0)*IFERROR(VALUE(TRIM(SUBSTITUTE($AE49,CHAR(160),""))),0)),
TRUE,0
)
)</f>
        <v/>
      </c>
      <c r="BG49" s="873" t="str" cm="1">
        <f t="array" ref="BG49">IF($AE49="","",
_xlfn.IFS(
$BA49="Devis 1",
IF(ISBLANK(AO49),"",IFERROR(VALUE(TRIM(SUBSTITUTE(AO49,CHAR(160),""))),0)*IFERROR(VALUE(TRIM(SUBSTITUTE($AE49,CHAR(160),""))),0)),
$BA49="Devis 2",
IF(ISBLANK(AT49),"",IFERROR(VALUE(TRIM(SUBSTITUTE(AT49,CHAR(160),""))),0)*IFERROR(VALUE(TRIM(SUBSTITUTE($AE49,CHAR(160),""))),0)),
$BA49="Devis 3",
IF(ISBLANK(AY49),"",IFERROR(VALUE(TRIM(SUBSTITUTE(AY49,CHAR(160),""))),0)*IFERROR(VALUE(TRIM(SUBSTITUTE($AE49,CHAR(160),""))),0)),
TRUE,0
)
)</f>
        <v/>
      </c>
      <c r="BH49" s="874" t="str">
        <f t="shared" si="47"/>
        <v/>
      </c>
      <c r="BI49" s="866"/>
      <c r="BJ49" s="774" t="str" cm="1">
        <f t="array" ref="BJ49">IF(OR(BH49="",BE49="",BF49="",BC49="",BG49="",BD49=""),"",_xlfn.IFS(
ROUND(IFERROR(VALUE(TRIM(SUBSTITUTE(BH49,CHAR(160),""))),0),2)&gt;
ROUND(IFERROR(VALUE(TRIM(SUBSTITUTE(BE49,CHAR(160),""))),0),2),
"KO : Le montant retenu TTC est supérieur au montant raisonnable TTC. Merci de revoir la ligne de dépense ou plafonner son montant.",
ROUND(IFERROR(VALUE(TRIM(SUBSTITUTE(BF49,CHAR(160),""))),0),2)&gt;
ROUND(IFERROR(VALUE(TRIM(SUBSTITUTE(BC49,CHAR(160),""))),0),2),
"Attention : Le montant retenu HT est supérieur au montant HT raisonnable. Merci de revoir la ligne de dépense, plafonner son montant, ou justifier la reventillation HT / TVA.",
ROUND(IFERROR(VALUE(TRIM(SUBSTITUTE(BG49,CHAR(160),""))),0),2)&gt;
ROUND(IFERROR(VALUE(TRIM(SUBSTITUTE(BD49,CHAR(160),""))),0),2),
"Attention : Le montant TVA retenu est supérieur au montant TVA raisonnable. Merci de revoir la ligne de dépense, plafonner son montant, ou justifier la reventillation HT / TVA.",
ROUND(IFERROR(VALUE(TRIM(SUBSTITUTE(BH49,CHAR(160),""))),0),2)&gt;
ROUND(IFERROR(VALUE(TRIM(SUBSTITUTE(MIN(N49,S49,X49),CHAR(160),""))),0),2),
"Attention : Le devis retenu n'est pas le moins cher. Une justification de la part du porteur est nécessaire.",
ROUND(IFERROR(VALUE(TRIM(SUBSTITUTE(BH49,CHAR(160),""))),0),2)=0,
"Attention : montant présenté entièrement écarté",
ROUND(IFERROR(VALUE(TRIM(SUBSTITUTE(BE49,CHAR(160),""))),0),2)=
ROUND(IFERROR(VALUE(TRIM(SUBSTITUTE(BH49,CHAR(160),""))),0),2),
"OK",
ROUND(IFERROR(VALUE(TRIM(SUBSTITUTE(BE49,CHAR(160),""))),0),2)&gt;
ROUND(IFERROR(VALUE(TRIM(SUBSTITUTE(BH49,CHAR(160),""))),0),2),
" OK : Montant instruit inférieur au montant raisonnable.",
TRUE,""
))</f>
        <v/>
      </c>
      <c r="BK49" s="774" t="str" cm="1">
        <f t="array" ref="BK49">IF(OR(BH49="",AB49="",BF49="",Z49="",BG49="",AA49=""),"",_xlfn.IFS(
ROUND(IFERROR(VALUE(TRIM(SUBSTITUTE(BH49,CHAR(160),""))),0),2)&gt;
ROUND(IFERROR(VALUE(TRIM(SUBSTITUTE(AB49,CHAR(160),""))),0),2),
"KO : Le montant retenu TTC est supérieur au montant présenté TTC. Merci de revoir la ligne de dépense ou plafonner son montant.",
ROUND(IFERROR(VALUE(TRIM(SUBSTITUTE(BF49,CHAR(160),""))),0),2)&gt;
ROUND(IFERROR(VALUE(TRIM(SUBSTITUTE(Z49,CHAR(160),""))),0),2),
"Attention : Le montant retenu HT est supérieur au montant HT présenté. Merci de revoir la ligne de dépense, plafonner son montant, ou justifier la reventillation HT / TVA.",
ROUND(IFERROR(VALUE(TRIM(SUBSTITUTE(BG49,CHAR(160),""))),0),2)&gt;
ROUND(IFERROR(VALUE(TRIM(SUBSTITUTE(AA49,CHAR(160),""))),0),2),
"Attention : Le montant TVA retenu est supérieur au montant TVA présenté. Merci de revoir la ligne de dépense, plafonner son montant, ou justifier la reventillation HT / TVA.",
ROUND(IFERROR(VALUE(TRIM(SUBSTITUTE(AB49,CHAR(160),""))),0),2)=0,
"",
ROUND(IFERROR(VALUE(TRIM(SUBSTITUTE(BH49,CHAR(160),""))),0),2)=
ROUND(IFERROR(VALUE(TRIM(SUBSTITUTE(AB49,CHAR(160),""))),0),2),
"OK",
ROUND(IFERROR(VALUE(TRIM(SUBSTITUTE(BH49,CHAR(160),""))),0),2)=0,
"Attention : Montant présenté entièrement rejeté.",
ROUND(IFERROR(VALUE(TRIM(SUBSTITUTE(BH49,CHAR(160),""))),0),2)&lt;
ROUND(IFERROR(VALUE(TRIM(SUBSTITUTE(AB49,CHAR(160),""))),0),2),
"Attention : Montant présenté partiellement rejeté.",
TRUE,""
))</f>
        <v/>
      </c>
      <c r="BL49" s="773" t="str">
        <f t="shared" si="48"/>
        <v/>
      </c>
      <c r="BM49" s="773" t="str">
        <f t="shared" si="49"/>
        <v/>
      </c>
      <c r="BN49" s="773" t="str">
        <f t="shared" si="50"/>
        <v/>
      </c>
    </row>
    <row r="50" spans="1:66" ht="15" customHeight="1">
      <c r="A50" s="193">
        <v>46</v>
      </c>
      <c r="B50" s="7"/>
      <c r="C50" s="9"/>
      <c r="D50" s="30"/>
      <c r="E50" s="36"/>
      <c r="F50" s="34"/>
      <c r="G50" s="35"/>
      <c r="H50" s="685"/>
      <c r="I50" s="786"/>
      <c r="J50" s="792"/>
      <c r="K50" s="758"/>
      <c r="L50" s="761"/>
      <c r="M50" s="762"/>
      <c r="N50" s="808" t="str">
        <f t="shared" si="21"/>
        <v/>
      </c>
      <c r="O50" s="846"/>
      <c r="P50" s="847"/>
      <c r="Q50" s="762"/>
      <c r="R50" s="762"/>
      <c r="S50" s="808" t="str">
        <f t="shared" si="22"/>
        <v/>
      </c>
      <c r="T50" s="850"/>
      <c r="U50" s="847"/>
      <c r="V50" s="762"/>
      <c r="W50" s="762"/>
      <c r="X50" s="830" t="str">
        <f t="shared" si="23"/>
        <v/>
      </c>
      <c r="Y50" s="246"/>
      <c r="Z50" s="284" t="str" cm="1">
        <f t="array" ref="Z50">IF((_xlfn.IFS(TRIM(SUBSTITUTE(Y50,CHAR(160),""))="Devis 1",IFERROR(VALUE(TRIM(SUBSTITUTE(L50,CHAR(160),""))),0),TRIM(SUBSTITUTE(Y50,CHAR(160),""))="Devis 2",IFERROR(VALUE(TRIM(SUBSTITUTE(Q50,CHAR(160),""))),0),TRIM(SUBSTITUTE(Y50,CHAR(160),""))="Devis 3",IFERROR(VALUE(TRIM(SUBSTITUTE(V50,CHAR(160),""))),0),TRUE,0)*IFERROR(VALUE(TRIM(SUBSTITUTE(C50,CHAR(160),""))),0))=0,"",_xlfn.IFS(TRIM(SUBSTITUTE(Y50,CHAR(160),""))="Devis 1",IFERROR(VALUE(TRIM(SUBSTITUTE(L50,CHAR(160),""))),0),TRIM(SUBSTITUTE(Y50,CHAR(160),""))="Devis 2",IFERROR(VALUE(TRIM(SUBSTITUTE(Q50,CHAR(160),""))),0),TRIM(SUBSTITUTE(Y50,CHAR(160),""))="Devis 3",IFERROR(VALUE(TRIM(SUBSTITUTE(V50,CHAR(160),""))),0),TRUE,0)*IFERROR(VALUE(TRIM(SUBSTITUTE(C50,CHAR(160),""))),0))</f>
        <v/>
      </c>
      <c r="AA50" s="275" t="str" cm="1">
        <f t="array" ref="AA50">IF((_xlfn.IFS(TRIM(SUBSTITUTE(Y50,CHAR(160),""))="Devis 1",IFERROR(VALUE(TRIM(SUBSTITUTE(M50,CHAR(160),""))),0),TRIM(SUBSTITUTE(Y50,CHAR(160),""))="Devis 2",IFERROR(VALUE(TRIM(SUBSTITUTE(R50,CHAR(160),""))),0),TRIM(SUBSTITUTE(Y50,CHAR(160),""))="Devis 3",IFERROR(VALUE(TRIM(SUBSTITUTE(W50,CHAR(160),""))),0),TRUE,0)*IFERROR(VALUE(TRIM(SUBSTITUTE(C50,CHAR(160),""))),0))=0,IF(Z50&lt;&gt;"",0,""),_xlfn.IFS(TRIM(SUBSTITUTE(Y50,CHAR(160),""))="Devis 1",IFERROR(VALUE(TRIM(SUBSTITUTE(M50,CHAR(160),""))),0),TRIM(SUBSTITUTE(Y50,CHAR(160),""))="Devis 2",IFERROR(VALUE(TRIM(SUBSTITUTE(R50,CHAR(160),""))),0),TRIM(SUBSTITUTE(Y50,CHAR(160),""))="Devis 3",IFERROR(VALUE(TRIM(SUBSTITUTE(W50,CHAR(160),""))),0),TRUE,0)*IFERROR(VALUE(TRIM(SUBSTITUTE(C50,CHAR(160),""))),0))</f>
        <v/>
      </c>
      <c r="AB50" s="285" t="str">
        <f t="shared" si="24"/>
        <v/>
      </c>
      <c r="AC50" s="209"/>
      <c r="AD50" s="747" t="str">
        <f t="shared" si="51"/>
        <v/>
      </c>
      <c r="AE50" s="747" t="str">
        <f t="shared" si="52"/>
        <v/>
      </c>
      <c r="AF50" s="747" t="str">
        <f t="shared" si="53"/>
        <v/>
      </c>
      <c r="AG50" s="747" t="str">
        <f t="shared" si="54"/>
        <v/>
      </c>
      <c r="AH50" s="747" t="str">
        <f t="shared" si="55"/>
        <v/>
      </c>
      <c r="AI50" s="747" t="str">
        <f t="shared" si="25"/>
        <v/>
      </c>
      <c r="AJ50" s="747" t="str">
        <f t="shared" si="26"/>
        <v/>
      </c>
      <c r="AK50" s="776" t="str">
        <f t="shared" si="27"/>
        <v/>
      </c>
      <c r="AL50" s="802" t="str">
        <f t="shared" si="28"/>
        <v/>
      </c>
      <c r="AM50" s="747" t="str">
        <f t="shared" si="29"/>
        <v/>
      </c>
      <c r="AN50" s="771" t="str">
        <f t="shared" si="30"/>
        <v/>
      </c>
      <c r="AO50" s="771" t="str">
        <f t="shared" si="31"/>
        <v/>
      </c>
      <c r="AP50" s="808" t="str">
        <f t="shared" si="32"/>
        <v/>
      </c>
      <c r="AQ50" s="819" t="str">
        <f t="shared" si="33"/>
        <v/>
      </c>
      <c r="AR50" s="771" t="str">
        <f t="shared" si="34"/>
        <v/>
      </c>
      <c r="AS50" s="771" t="str">
        <f t="shared" si="35"/>
        <v/>
      </c>
      <c r="AT50" s="771" t="str">
        <f t="shared" si="36"/>
        <v/>
      </c>
      <c r="AU50" s="808" t="str">
        <f t="shared" si="37"/>
        <v/>
      </c>
      <c r="AV50" s="842" t="str">
        <f t="shared" si="38"/>
        <v/>
      </c>
      <c r="AW50" s="771" t="str">
        <f t="shared" si="39"/>
        <v/>
      </c>
      <c r="AX50" s="771" t="str">
        <f t="shared" si="40"/>
        <v/>
      </c>
      <c r="AY50" s="771" t="str">
        <f t="shared" si="41"/>
        <v/>
      </c>
      <c r="AZ50" s="831" t="str">
        <f t="shared" si="42"/>
        <v/>
      </c>
      <c r="BA50" s="835" t="str">
        <f t="shared" si="43"/>
        <v/>
      </c>
      <c r="BB50" s="772"/>
      <c r="BC50" s="275" t="str">
        <f t="shared" si="44"/>
        <v/>
      </c>
      <c r="BD50" s="275" t="str">
        <f t="shared" si="45"/>
        <v/>
      </c>
      <c r="BE50" s="886" t="str">
        <f t="shared" si="46"/>
        <v/>
      </c>
      <c r="BF50" s="873" t="str" cm="1">
        <f t="array" ref="BF50">IF($AE50="","",
_xlfn.IFS(
$BA50="Devis 1",
IF(ISBLANK(AN50),"",IFERROR(VALUE(TRIM(SUBSTITUTE(AN50,CHAR(160),""))),0)*IFERROR(VALUE(TRIM(SUBSTITUTE($AE50,CHAR(160),""))),0)),
$BA50="Devis 2",
IF(ISBLANK(AS50),"",IFERROR(VALUE(TRIM(SUBSTITUTE(AS50,CHAR(160),""))),0)*IFERROR(VALUE(TRIM(SUBSTITUTE($AE50,CHAR(160),""))),0)),
$BA50="Devis 3",
IF(ISBLANK(AX50),"",IFERROR(VALUE(TRIM(SUBSTITUTE(AX50,CHAR(160),""))),0)*IFERROR(VALUE(TRIM(SUBSTITUTE($AE50,CHAR(160),""))),0)),
TRUE,0
)
)</f>
        <v/>
      </c>
      <c r="BG50" s="873" t="str" cm="1">
        <f t="array" ref="BG50">IF($AE50="","",
_xlfn.IFS(
$BA50="Devis 1",
IF(ISBLANK(AO50),"",IFERROR(VALUE(TRIM(SUBSTITUTE(AO50,CHAR(160),""))),0)*IFERROR(VALUE(TRIM(SUBSTITUTE($AE50,CHAR(160),""))),0)),
$BA50="Devis 2",
IF(ISBLANK(AT50),"",IFERROR(VALUE(TRIM(SUBSTITUTE(AT50,CHAR(160),""))),0)*IFERROR(VALUE(TRIM(SUBSTITUTE($AE50,CHAR(160),""))),0)),
$BA50="Devis 3",
IF(ISBLANK(AY50),"",IFERROR(VALUE(TRIM(SUBSTITUTE(AY50,CHAR(160),""))),0)*IFERROR(VALUE(TRIM(SUBSTITUTE($AE50,CHAR(160),""))),0)),
TRUE,0
)
)</f>
        <v/>
      </c>
      <c r="BH50" s="874" t="str">
        <f t="shared" si="47"/>
        <v/>
      </c>
      <c r="BI50" s="866"/>
      <c r="BJ50" s="774" t="str" cm="1">
        <f t="array" ref="BJ50">IF(OR(BH50="",BE50="",BF50="",BC50="",BG50="",BD50=""),"",_xlfn.IFS(
ROUND(IFERROR(VALUE(TRIM(SUBSTITUTE(BH50,CHAR(160),""))),0),2)&gt;
ROUND(IFERROR(VALUE(TRIM(SUBSTITUTE(BE50,CHAR(160),""))),0),2),
"KO : Le montant retenu TTC est supérieur au montant raisonnable TTC. Merci de revoir la ligne de dépense ou plafonner son montant.",
ROUND(IFERROR(VALUE(TRIM(SUBSTITUTE(BF50,CHAR(160),""))),0),2)&gt;
ROUND(IFERROR(VALUE(TRIM(SUBSTITUTE(BC50,CHAR(160),""))),0),2),
"Attention : Le montant retenu HT est supérieur au montant HT raisonnable. Merci de revoir la ligne de dépense, plafonner son montant, ou justifier la reventillation HT / TVA.",
ROUND(IFERROR(VALUE(TRIM(SUBSTITUTE(BG50,CHAR(160),""))),0),2)&gt;
ROUND(IFERROR(VALUE(TRIM(SUBSTITUTE(BD50,CHAR(160),""))),0),2),
"Attention : Le montant TVA retenu est supérieur au montant TVA raisonnable. Merci de revoir la ligne de dépense, plafonner son montant, ou justifier la reventillation HT / TVA.",
ROUND(IFERROR(VALUE(TRIM(SUBSTITUTE(BH50,CHAR(160),""))),0),2)&gt;
ROUND(IFERROR(VALUE(TRIM(SUBSTITUTE(MIN(N50,S50,X50),CHAR(160),""))),0),2),
"Attention : Le devis retenu n'est pas le moins cher. Une justification de la part du porteur est nécessaire.",
ROUND(IFERROR(VALUE(TRIM(SUBSTITUTE(BH50,CHAR(160),""))),0),2)=0,
"Attention : montant présenté entièrement écarté",
ROUND(IFERROR(VALUE(TRIM(SUBSTITUTE(BE50,CHAR(160),""))),0),2)=
ROUND(IFERROR(VALUE(TRIM(SUBSTITUTE(BH50,CHAR(160),""))),0),2),
"OK",
ROUND(IFERROR(VALUE(TRIM(SUBSTITUTE(BE50,CHAR(160),""))),0),2)&gt;
ROUND(IFERROR(VALUE(TRIM(SUBSTITUTE(BH50,CHAR(160),""))),0),2),
" OK : Montant instruit inférieur au montant raisonnable.",
TRUE,""
))</f>
        <v/>
      </c>
      <c r="BK50" s="774" t="str" cm="1">
        <f t="array" ref="BK50">IF(OR(BH50="",AB50="",BF50="",Z50="",BG50="",AA50=""),"",_xlfn.IFS(
ROUND(IFERROR(VALUE(TRIM(SUBSTITUTE(BH50,CHAR(160),""))),0),2)&gt;
ROUND(IFERROR(VALUE(TRIM(SUBSTITUTE(AB50,CHAR(160),""))),0),2),
"KO : Le montant retenu TTC est supérieur au montant présenté TTC. Merci de revoir la ligne de dépense ou plafonner son montant.",
ROUND(IFERROR(VALUE(TRIM(SUBSTITUTE(BF50,CHAR(160),""))),0),2)&gt;
ROUND(IFERROR(VALUE(TRIM(SUBSTITUTE(Z50,CHAR(160),""))),0),2),
"Attention : Le montant retenu HT est supérieur au montant HT présenté. Merci de revoir la ligne de dépense, plafonner son montant, ou justifier la reventillation HT / TVA.",
ROUND(IFERROR(VALUE(TRIM(SUBSTITUTE(BG50,CHAR(160),""))),0),2)&gt;
ROUND(IFERROR(VALUE(TRIM(SUBSTITUTE(AA50,CHAR(160),""))),0),2),
"Attention : Le montant TVA retenu est supérieur au montant TVA présenté. Merci de revoir la ligne de dépense, plafonner son montant, ou justifier la reventillation HT / TVA.",
ROUND(IFERROR(VALUE(TRIM(SUBSTITUTE(AB50,CHAR(160),""))),0),2)=0,
"",
ROUND(IFERROR(VALUE(TRIM(SUBSTITUTE(BH50,CHAR(160),""))),0),2)=
ROUND(IFERROR(VALUE(TRIM(SUBSTITUTE(AB50,CHAR(160),""))),0),2),
"OK",
ROUND(IFERROR(VALUE(TRIM(SUBSTITUTE(BH50,CHAR(160),""))),0),2)=0,
"Attention : Montant présenté entièrement rejeté.",
ROUND(IFERROR(VALUE(TRIM(SUBSTITUTE(BH50,CHAR(160),""))),0),2)&lt;
ROUND(IFERROR(VALUE(TRIM(SUBSTITUTE(AB50,CHAR(160),""))),0),2),
"Attention : Montant présenté partiellement rejeté.",
TRUE,""
))</f>
        <v/>
      </c>
      <c r="BL50" s="773" t="str">
        <f t="shared" si="48"/>
        <v/>
      </c>
      <c r="BM50" s="773" t="str">
        <f t="shared" si="49"/>
        <v/>
      </c>
      <c r="BN50" s="773" t="str">
        <f t="shared" si="50"/>
        <v/>
      </c>
    </row>
    <row r="51" spans="1:66" ht="15" customHeight="1">
      <c r="A51" s="193">
        <v>47</v>
      </c>
      <c r="B51" s="7"/>
      <c r="C51" s="9"/>
      <c r="D51" s="30"/>
      <c r="E51" s="36"/>
      <c r="F51" s="34"/>
      <c r="G51" s="35"/>
      <c r="H51" s="685"/>
      <c r="I51" s="786"/>
      <c r="J51" s="792"/>
      <c r="K51" s="758"/>
      <c r="L51" s="761"/>
      <c r="M51" s="762"/>
      <c r="N51" s="808" t="str">
        <f t="shared" si="21"/>
        <v/>
      </c>
      <c r="O51" s="846"/>
      <c r="P51" s="847"/>
      <c r="Q51" s="762"/>
      <c r="R51" s="762"/>
      <c r="S51" s="808" t="str">
        <f t="shared" si="22"/>
        <v/>
      </c>
      <c r="T51" s="850"/>
      <c r="U51" s="847"/>
      <c r="V51" s="762"/>
      <c r="W51" s="762"/>
      <c r="X51" s="830" t="str">
        <f t="shared" si="23"/>
        <v/>
      </c>
      <c r="Y51" s="246"/>
      <c r="Z51" s="284" t="str" cm="1">
        <f t="array" ref="Z51">IF((_xlfn.IFS(TRIM(SUBSTITUTE(Y51,CHAR(160),""))="Devis 1",IFERROR(VALUE(TRIM(SUBSTITUTE(L51,CHAR(160),""))),0),TRIM(SUBSTITUTE(Y51,CHAR(160),""))="Devis 2",IFERROR(VALUE(TRIM(SUBSTITUTE(Q51,CHAR(160),""))),0),TRIM(SUBSTITUTE(Y51,CHAR(160),""))="Devis 3",IFERROR(VALUE(TRIM(SUBSTITUTE(V51,CHAR(160),""))),0),TRUE,0)*IFERROR(VALUE(TRIM(SUBSTITUTE(C51,CHAR(160),""))),0))=0,"",_xlfn.IFS(TRIM(SUBSTITUTE(Y51,CHAR(160),""))="Devis 1",IFERROR(VALUE(TRIM(SUBSTITUTE(L51,CHAR(160),""))),0),TRIM(SUBSTITUTE(Y51,CHAR(160),""))="Devis 2",IFERROR(VALUE(TRIM(SUBSTITUTE(Q51,CHAR(160),""))),0),TRIM(SUBSTITUTE(Y51,CHAR(160),""))="Devis 3",IFERROR(VALUE(TRIM(SUBSTITUTE(V51,CHAR(160),""))),0),TRUE,0)*IFERROR(VALUE(TRIM(SUBSTITUTE(C51,CHAR(160),""))),0))</f>
        <v/>
      </c>
      <c r="AA51" s="275" t="str" cm="1">
        <f t="array" ref="AA51">IF((_xlfn.IFS(TRIM(SUBSTITUTE(Y51,CHAR(160),""))="Devis 1",IFERROR(VALUE(TRIM(SUBSTITUTE(M51,CHAR(160),""))),0),TRIM(SUBSTITUTE(Y51,CHAR(160),""))="Devis 2",IFERROR(VALUE(TRIM(SUBSTITUTE(R51,CHAR(160),""))),0),TRIM(SUBSTITUTE(Y51,CHAR(160),""))="Devis 3",IFERROR(VALUE(TRIM(SUBSTITUTE(W51,CHAR(160),""))),0),TRUE,0)*IFERROR(VALUE(TRIM(SUBSTITUTE(C51,CHAR(160),""))),0))=0,IF(Z51&lt;&gt;"",0,""),_xlfn.IFS(TRIM(SUBSTITUTE(Y51,CHAR(160),""))="Devis 1",IFERROR(VALUE(TRIM(SUBSTITUTE(M51,CHAR(160),""))),0),TRIM(SUBSTITUTE(Y51,CHAR(160),""))="Devis 2",IFERROR(VALUE(TRIM(SUBSTITUTE(R51,CHAR(160),""))),0),TRIM(SUBSTITUTE(Y51,CHAR(160),""))="Devis 3",IFERROR(VALUE(TRIM(SUBSTITUTE(W51,CHAR(160),""))),0),TRUE,0)*IFERROR(VALUE(TRIM(SUBSTITUTE(C51,CHAR(160),""))),0))</f>
        <v/>
      </c>
      <c r="AB51" s="285" t="str">
        <f t="shared" si="24"/>
        <v/>
      </c>
      <c r="AC51" s="209"/>
      <c r="AD51" s="747" t="str">
        <f t="shared" si="51"/>
        <v/>
      </c>
      <c r="AE51" s="747" t="str">
        <f t="shared" si="52"/>
        <v/>
      </c>
      <c r="AF51" s="747" t="str">
        <f t="shared" si="53"/>
        <v/>
      </c>
      <c r="AG51" s="747" t="str">
        <f t="shared" si="54"/>
        <v/>
      </c>
      <c r="AH51" s="747" t="str">
        <f t="shared" si="55"/>
        <v/>
      </c>
      <c r="AI51" s="747" t="str">
        <f t="shared" si="25"/>
        <v/>
      </c>
      <c r="AJ51" s="747" t="str">
        <f t="shared" si="26"/>
        <v/>
      </c>
      <c r="AK51" s="776" t="str">
        <f t="shared" si="27"/>
        <v/>
      </c>
      <c r="AL51" s="802" t="str">
        <f t="shared" si="28"/>
        <v/>
      </c>
      <c r="AM51" s="747" t="str">
        <f t="shared" si="29"/>
        <v/>
      </c>
      <c r="AN51" s="771" t="str">
        <f t="shared" si="30"/>
        <v/>
      </c>
      <c r="AO51" s="771" t="str">
        <f t="shared" si="31"/>
        <v/>
      </c>
      <c r="AP51" s="808" t="str">
        <f t="shared" si="32"/>
        <v/>
      </c>
      <c r="AQ51" s="819" t="str">
        <f t="shared" si="33"/>
        <v/>
      </c>
      <c r="AR51" s="771" t="str">
        <f t="shared" si="34"/>
        <v/>
      </c>
      <c r="AS51" s="771" t="str">
        <f t="shared" si="35"/>
        <v/>
      </c>
      <c r="AT51" s="771" t="str">
        <f t="shared" si="36"/>
        <v/>
      </c>
      <c r="AU51" s="808" t="str">
        <f t="shared" si="37"/>
        <v/>
      </c>
      <c r="AV51" s="842" t="str">
        <f t="shared" si="38"/>
        <v/>
      </c>
      <c r="AW51" s="771" t="str">
        <f t="shared" si="39"/>
        <v/>
      </c>
      <c r="AX51" s="771" t="str">
        <f t="shared" si="40"/>
        <v/>
      </c>
      <c r="AY51" s="771" t="str">
        <f t="shared" si="41"/>
        <v/>
      </c>
      <c r="AZ51" s="831" t="str">
        <f t="shared" si="42"/>
        <v/>
      </c>
      <c r="BA51" s="835" t="str">
        <f t="shared" si="43"/>
        <v/>
      </c>
      <c r="BB51" s="772"/>
      <c r="BC51" s="275" t="str">
        <f t="shared" si="44"/>
        <v/>
      </c>
      <c r="BD51" s="275" t="str">
        <f t="shared" si="45"/>
        <v/>
      </c>
      <c r="BE51" s="886" t="str">
        <f t="shared" si="46"/>
        <v/>
      </c>
      <c r="BF51" s="873" t="str" cm="1">
        <f t="array" ref="BF51">IF($AE51="","",
_xlfn.IFS(
$BA51="Devis 1",
IF(ISBLANK(AN51),"",IFERROR(VALUE(TRIM(SUBSTITUTE(AN51,CHAR(160),""))),0)*IFERROR(VALUE(TRIM(SUBSTITUTE($AE51,CHAR(160),""))),0)),
$BA51="Devis 2",
IF(ISBLANK(AS51),"",IFERROR(VALUE(TRIM(SUBSTITUTE(AS51,CHAR(160),""))),0)*IFERROR(VALUE(TRIM(SUBSTITUTE($AE51,CHAR(160),""))),0)),
$BA51="Devis 3",
IF(ISBLANK(AX51),"",IFERROR(VALUE(TRIM(SUBSTITUTE(AX51,CHAR(160),""))),0)*IFERROR(VALUE(TRIM(SUBSTITUTE($AE51,CHAR(160),""))),0)),
TRUE,0
)
)</f>
        <v/>
      </c>
      <c r="BG51" s="873" t="str" cm="1">
        <f t="array" ref="BG51">IF($AE51="","",
_xlfn.IFS(
$BA51="Devis 1",
IF(ISBLANK(AO51),"",IFERROR(VALUE(TRIM(SUBSTITUTE(AO51,CHAR(160),""))),0)*IFERROR(VALUE(TRIM(SUBSTITUTE($AE51,CHAR(160),""))),0)),
$BA51="Devis 2",
IF(ISBLANK(AT51),"",IFERROR(VALUE(TRIM(SUBSTITUTE(AT51,CHAR(160),""))),0)*IFERROR(VALUE(TRIM(SUBSTITUTE($AE51,CHAR(160),""))),0)),
$BA51="Devis 3",
IF(ISBLANK(AY51),"",IFERROR(VALUE(TRIM(SUBSTITUTE(AY51,CHAR(160),""))),0)*IFERROR(VALUE(TRIM(SUBSTITUTE($AE51,CHAR(160),""))),0)),
TRUE,0
)
)</f>
        <v/>
      </c>
      <c r="BH51" s="874" t="str">
        <f t="shared" si="47"/>
        <v/>
      </c>
      <c r="BI51" s="866"/>
      <c r="BJ51" s="774" t="str" cm="1">
        <f t="array" ref="BJ51">IF(OR(BH51="",BE51="",BF51="",BC51="",BG51="",BD51=""),"",_xlfn.IFS(
ROUND(IFERROR(VALUE(TRIM(SUBSTITUTE(BH51,CHAR(160),""))),0),2)&gt;
ROUND(IFERROR(VALUE(TRIM(SUBSTITUTE(BE51,CHAR(160),""))),0),2),
"KO : Le montant retenu TTC est supérieur au montant raisonnable TTC. Merci de revoir la ligne de dépense ou plafonner son montant.",
ROUND(IFERROR(VALUE(TRIM(SUBSTITUTE(BF51,CHAR(160),""))),0),2)&gt;
ROUND(IFERROR(VALUE(TRIM(SUBSTITUTE(BC51,CHAR(160),""))),0),2),
"Attention : Le montant retenu HT est supérieur au montant HT raisonnable. Merci de revoir la ligne de dépense, plafonner son montant, ou justifier la reventillation HT / TVA.",
ROUND(IFERROR(VALUE(TRIM(SUBSTITUTE(BG51,CHAR(160),""))),0),2)&gt;
ROUND(IFERROR(VALUE(TRIM(SUBSTITUTE(BD51,CHAR(160),""))),0),2),
"Attention : Le montant TVA retenu est supérieur au montant TVA raisonnable. Merci de revoir la ligne de dépense, plafonner son montant, ou justifier la reventillation HT / TVA.",
ROUND(IFERROR(VALUE(TRIM(SUBSTITUTE(BH51,CHAR(160),""))),0),2)&gt;
ROUND(IFERROR(VALUE(TRIM(SUBSTITUTE(MIN(N51,S51,X51),CHAR(160),""))),0),2),
"Attention : Le devis retenu n'est pas le moins cher. Une justification de la part du porteur est nécessaire.",
ROUND(IFERROR(VALUE(TRIM(SUBSTITUTE(BH51,CHAR(160),""))),0),2)=0,
"Attention : montant présenté entièrement écarté",
ROUND(IFERROR(VALUE(TRIM(SUBSTITUTE(BE51,CHAR(160),""))),0),2)=
ROUND(IFERROR(VALUE(TRIM(SUBSTITUTE(BH51,CHAR(160),""))),0),2),
"OK",
ROUND(IFERROR(VALUE(TRIM(SUBSTITUTE(BE51,CHAR(160),""))),0),2)&gt;
ROUND(IFERROR(VALUE(TRIM(SUBSTITUTE(BH51,CHAR(160),""))),0),2),
" OK : Montant instruit inférieur au montant raisonnable.",
TRUE,""
))</f>
        <v/>
      </c>
      <c r="BK51" s="774" t="str" cm="1">
        <f t="array" ref="BK51">IF(OR(BH51="",AB51="",BF51="",Z51="",BG51="",AA51=""),"",_xlfn.IFS(
ROUND(IFERROR(VALUE(TRIM(SUBSTITUTE(BH51,CHAR(160),""))),0),2)&gt;
ROUND(IFERROR(VALUE(TRIM(SUBSTITUTE(AB51,CHAR(160),""))),0),2),
"KO : Le montant retenu TTC est supérieur au montant présenté TTC. Merci de revoir la ligne de dépense ou plafonner son montant.",
ROUND(IFERROR(VALUE(TRIM(SUBSTITUTE(BF51,CHAR(160),""))),0),2)&gt;
ROUND(IFERROR(VALUE(TRIM(SUBSTITUTE(Z51,CHAR(160),""))),0),2),
"Attention : Le montant retenu HT est supérieur au montant HT présenté. Merci de revoir la ligne de dépense, plafonner son montant, ou justifier la reventillation HT / TVA.",
ROUND(IFERROR(VALUE(TRIM(SUBSTITUTE(BG51,CHAR(160),""))),0),2)&gt;
ROUND(IFERROR(VALUE(TRIM(SUBSTITUTE(AA51,CHAR(160),""))),0),2),
"Attention : Le montant TVA retenu est supérieur au montant TVA présenté. Merci de revoir la ligne de dépense, plafonner son montant, ou justifier la reventillation HT / TVA.",
ROUND(IFERROR(VALUE(TRIM(SUBSTITUTE(AB51,CHAR(160),""))),0),2)=0,
"",
ROUND(IFERROR(VALUE(TRIM(SUBSTITUTE(BH51,CHAR(160),""))),0),2)=
ROUND(IFERROR(VALUE(TRIM(SUBSTITUTE(AB51,CHAR(160),""))),0),2),
"OK",
ROUND(IFERROR(VALUE(TRIM(SUBSTITUTE(BH51,CHAR(160),""))),0),2)=0,
"Attention : Montant présenté entièrement rejeté.",
ROUND(IFERROR(VALUE(TRIM(SUBSTITUTE(BH51,CHAR(160),""))),0),2)&lt;
ROUND(IFERROR(VALUE(TRIM(SUBSTITUTE(AB51,CHAR(160),""))),0),2),
"Attention : Montant présenté partiellement rejeté.",
TRUE,""
))</f>
        <v/>
      </c>
      <c r="BL51" s="773" t="str">
        <f t="shared" si="48"/>
        <v/>
      </c>
      <c r="BM51" s="773" t="str">
        <f t="shared" si="49"/>
        <v/>
      </c>
      <c r="BN51" s="773" t="str">
        <f t="shared" si="50"/>
        <v/>
      </c>
    </row>
    <row r="52" spans="1:66" ht="15" customHeight="1">
      <c r="A52" s="193">
        <v>48</v>
      </c>
      <c r="B52" s="7"/>
      <c r="C52" s="9"/>
      <c r="D52" s="30"/>
      <c r="E52" s="36"/>
      <c r="F52" s="34"/>
      <c r="G52" s="35"/>
      <c r="H52" s="685"/>
      <c r="I52" s="786"/>
      <c r="J52" s="792"/>
      <c r="K52" s="758"/>
      <c r="L52" s="761"/>
      <c r="M52" s="762"/>
      <c r="N52" s="808" t="str">
        <f t="shared" si="21"/>
        <v/>
      </c>
      <c r="O52" s="846"/>
      <c r="P52" s="847"/>
      <c r="Q52" s="762"/>
      <c r="R52" s="762"/>
      <c r="S52" s="808" t="str">
        <f t="shared" si="22"/>
        <v/>
      </c>
      <c r="T52" s="850"/>
      <c r="U52" s="847"/>
      <c r="V52" s="762"/>
      <c r="W52" s="762"/>
      <c r="X52" s="830" t="str">
        <f t="shared" si="23"/>
        <v/>
      </c>
      <c r="Y52" s="246"/>
      <c r="Z52" s="284" t="str" cm="1">
        <f t="array" ref="Z52">IF((_xlfn.IFS(TRIM(SUBSTITUTE(Y52,CHAR(160),""))="Devis 1",IFERROR(VALUE(TRIM(SUBSTITUTE(L52,CHAR(160),""))),0),TRIM(SUBSTITUTE(Y52,CHAR(160),""))="Devis 2",IFERROR(VALUE(TRIM(SUBSTITUTE(Q52,CHAR(160),""))),0),TRIM(SUBSTITUTE(Y52,CHAR(160),""))="Devis 3",IFERROR(VALUE(TRIM(SUBSTITUTE(V52,CHAR(160),""))),0),TRUE,0)*IFERROR(VALUE(TRIM(SUBSTITUTE(C52,CHAR(160),""))),0))=0,"",_xlfn.IFS(TRIM(SUBSTITUTE(Y52,CHAR(160),""))="Devis 1",IFERROR(VALUE(TRIM(SUBSTITUTE(L52,CHAR(160),""))),0),TRIM(SUBSTITUTE(Y52,CHAR(160),""))="Devis 2",IFERROR(VALUE(TRIM(SUBSTITUTE(Q52,CHAR(160),""))),0),TRIM(SUBSTITUTE(Y52,CHAR(160),""))="Devis 3",IFERROR(VALUE(TRIM(SUBSTITUTE(V52,CHAR(160),""))),0),TRUE,0)*IFERROR(VALUE(TRIM(SUBSTITUTE(C52,CHAR(160),""))),0))</f>
        <v/>
      </c>
      <c r="AA52" s="275" t="str" cm="1">
        <f t="array" ref="AA52">IF((_xlfn.IFS(TRIM(SUBSTITUTE(Y52,CHAR(160),""))="Devis 1",IFERROR(VALUE(TRIM(SUBSTITUTE(M52,CHAR(160),""))),0),TRIM(SUBSTITUTE(Y52,CHAR(160),""))="Devis 2",IFERROR(VALUE(TRIM(SUBSTITUTE(R52,CHAR(160),""))),0),TRIM(SUBSTITUTE(Y52,CHAR(160),""))="Devis 3",IFERROR(VALUE(TRIM(SUBSTITUTE(W52,CHAR(160),""))),0),TRUE,0)*IFERROR(VALUE(TRIM(SUBSTITUTE(C52,CHAR(160),""))),0))=0,IF(Z52&lt;&gt;"",0,""),_xlfn.IFS(TRIM(SUBSTITUTE(Y52,CHAR(160),""))="Devis 1",IFERROR(VALUE(TRIM(SUBSTITUTE(M52,CHAR(160),""))),0),TRIM(SUBSTITUTE(Y52,CHAR(160),""))="Devis 2",IFERROR(VALUE(TRIM(SUBSTITUTE(R52,CHAR(160),""))),0),TRIM(SUBSTITUTE(Y52,CHAR(160),""))="Devis 3",IFERROR(VALUE(TRIM(SUBSTITUTE(W52,CHAR(160),""))),0),TRUE,0)*IFERROR(VALUE(TRIM(SUBSTITUTE(C52,CHAR(160),""))),0))</f>
        <v/>
      </c>
      <c r="AB52" s="285" t="str">
        <f t="shared" si="24"/>
        <v/>
      </c>
      <c r="AC52" s="209"/>
      <c r="AD52" s="747" t="str">
        <f t="shared" si="51"/>
        <v/>
      </c>
      <c r="AE52" s="747" t="str">
        <f t="shared" si="52"/>
        <v/>
      </c>
      <c r="AF52" s="747" t="str">
        <f t="shared" si="53"/>
        <v/>
      </c>
      <c r="AG52" s="747" t="str">
        <f t="shared" si="54"/>
        <v/>
      </c>
      <c r="AH52" s="747" t="str">
        <f t="shared" si="55"/>
        <v/>
      </c>
      <c r="AI52" s="747" t="str">
        <f t="shared" si="25"/>
        <v/>
      </c>
      <c r="AJ52" s="747" t="str">
        <f t="shared" si="26"/>
        <v/>
      </c>
      <c r="AK52" s="776" t="str">
        <f t="shared" si="27"/>
        <v/>
      </c>
      <c r="AL52" s="802" t="str">
        <f t="shared" si="28"/>
        <v/>
      </c>
      <c r="AM52" s="747" t="str">
        <f t="shared" si="29"/>
        <v/>
      </c>
      <c r="AN52" s="771" t="str">
        <f t="shared" si="30"/>
        <v/>
      </c>
      <c r="AO52" s="771" t="str">
        <f t="shared" si="31"/>
        <v/>
      </c>
      <c r="AP52" s="808" t="str">
        <f t="shared" si="32"/>
        <v/>
      </c>
      <c r="AQ52" s="819" t="str">
        <f t="shared" si="33"/>
        <v/>
      </c>
      <c r="AR52" s="771" t="str">
        <f t="shared" si="34"/>
        <v/>
      </c>
      <c r="AS52" s="771" t="str">
        <f t="shared" si="35"/>
        <v/>
      </c>
      <c r="AT52" s="771" t="str">
        <f t="shared" si="36"/>
        <v/>
      </c>
      <c r="AU52" s="808" t="str">
        <f t="shared" si="37"/>
        <v/>
      </c>
      <c r="AV52" s="842" t="str">
        <f t="shared" si="38"/>
        <v/>
      </c>
      <c r="AW52" s="771" t="str">
        <f t="shared" si="39"/>
        <v/>
      </c>
      <c r="AX52" s="771" t="str">
        <f t="shared" si="40"/>
        <v/>
      </c>
      <c r="AY52" s="771" t="str">
        <f t="shared" si="41"/>
        <v/>
      </c>
      <c r="AZ52" s="831" t="str">
        <f t="shared" si="42"/>
        <v/>
      </c>
      <c r="BA52" s="835" t="str">
        <f t="shared" si="43"/>
        <v/>
      </c>
      <c r="BB52" s="772"/>
      <c r="BC52" s="275" t="str">
        <f t="shared" si="44"/>
        <v/>
      </c>
      <c r="BD52" s="275" t="str">
        <f t="shared" si="45"/>
        <v/>
      </c>
      <c r="BE52" s="886" t="str">
        <f t="shared" si="46"/>
        <v/>
      </c>
      <c r="BF52" s="873" t="str" cm="1">
        <f t="array" ref="BF52">IF($AE52="","",
_xlfn.IFS(
$BA52="Devis 1",
IF(ISBLANK(AN52),"",IFERROR(VALUE(TRIM(SUBSTITUTE(AN52,CHAR(160),""))),0)*IFERROR(VALUE(TRIM(SUBSTITUTE($AE52,CHAR(160),""))),0)),
$BA52="Devis 2",
IF(ISBLANK(AS52),"",IFERROR(VALUE(TRIM(SUBSTITUTE(AS52,CHAR(160),""))),0)*IFERROR(VALUE(TRIM(SUBSTITUTE($AE52,CHAR(160),""))),0)),
$BA52="Devis 3",
IF(ISBLANK(AX52),"",IFERROR(VALUE(TRIM(SUBSTITUTE(AX52,CHAR(160),""))),0)*IFERROR(VALUE(TRIM(SUBSTITUTE($AE52,CHAR(160),""))),0)),
TRUE,0
)
)</f>
        <v/>
      </c>
      <c r="BG52" s="873" t="str" cm="1">
        <f t="array" ref="BG52">IF($AE52="","",
_xlfn.IFS(
$BA52="Devis 1",
IF(ISBLANK(AO52),"",IFERROR(VALUE(TRIM(SUBSTITUTE(AO52,CHAR(160),""))),0)*IFERROR(VALUE(TRIM(SUBSTITUTE($AE52,CHAR(160),""))),0)),
$BA52="Devis 2",
IF(ISBLANK(AT52),"",IFERROR(VALUE(TRIM(SUBSTITUTE(AT52,CHAR(160),""))),0)*IFERROR(VALUE(TRIM(SUBSTITUTE($AE52,CHAR(160),""))),0)),
$BA52="Devis 3",
IF(ISBLANK(AY52),"",IFERROR(VALUE(TRIM(SUBSTITUTE(AY52,CHAR(160),""))),0)*IFERROR(VALUE(TRIM(SUBSTITUTE($AE52,CHAR(160),""))),0)),
TRUE,0
)
)</f>
        <v/>
      </c>
      <c r="BH52" s="874" t="str">
        <f t="shared" si="47"/>
        <v/>
      </c>
      <c r="BI52" s="866"/>
      <c r="BJ52" s="774" t="str" cm="1">
        <f t="array" ref="BJ52">IF(OR(BH52="",BE52="",BF52="",BC52="",BG52="",BD52=""),"",_xlfn.IFS(
ROUND(IFERROR(VALUE(TRIM(SUBSTITUTE(BH52,CHAR(160),""))),0),2)&gt;
ROUND(IFERROR(VALUE(TRIM(SUBSTITUTE(BE52,CHAR(160),""))),0),2),
"KO : Le montant retenu TTC est supérieur au montant raisonnable TTC. Merci de revoir la ligne de dépense ou plafonner son montant.",
ROUND(IFERROR(VALUE(TRIM(SUBSTITUTE(BF52,CHAR(160),""))),0),2)&gt;
ROUND(IFERROR(VALUE(TRIM(SUBSTITUTE(BC52,CHAR(160),""))),0),2),
"Attention : Le montant retenu HT est supérieur au montant HT raisonnable. Merci de revoir la ligne de dépense, plafonner son montant, ou justifier la reventillation HT / TVA.",
ROUND(IFERROR(VALUE(TRIM(SUBSTITUTE(BG52,CHAR(160),""))),0),2)&gt;
ROUND(IFERROR(VALUE(TRIM(SUBSTITUTE(BD52,CHAR(160),""))),0),2),
"Attention : Le montant TVA retenu est supérieur au montant TVA raisonnable. Merci de revoir la ligne de dépense, plafonner son montant, ou justifier la reventillation HT / TVA.",
ROUND(IFERROR(VALUE(TRIM(SUBSTITUTE(BH52,CHAR(160),""))),0),2)&gt;
ROUND(IFERROR(VALUE(TRIM(SUBSTITUTE(MIN(N52,S52,X52),CHAR(160),""))),0),2),
"Attention : Le devis retenu n'est pas le moins cher. Une justification de la part du porteur est nécessaire.",
ROUND(IFERROR(VALUE(TRIM(SUBSTITUTE(BH52,CHAR(160),""))),0),2)=0,
"Attention : montant présenté entièrement écarté",
ROUND(IFERROR(VALUE(TRIM(SUBSTITUTE(BE52,CHAR(160),""))),0),2)=
ROUND(IFERROR(VALUE(TRIM(SUBSTITUTE(BH52,CHAR(160),""))),0),2),
"OK",
ROUND(IFERROR(VALUE(TRIM(SUBSTITUTE(BE52,CHAR(160),""))),0),2)&gt;
ROUND(IFERROR(VALUE(TRIM(SUBSTITUTE(BH52,CHAR(160),""))),0),2),
" OK : Montant instruit inférieur au montant raisonnable.",
TRUE,""
))</f>
        <v/>
      </c>
      <c r="BK52" s="774" t="str" cm="1">
        <f t="array" ref="BK52">IF(OR(BH52="",AB52="",BF52="",Z52="",BG52="",AA52=""),"",_xlfn.IFS(
ROUND(IFERROR(VALUE(TRIM(SUBSTITUTE(BH52,CHAR(160),""))),0),2)&gt;
ROUND(IFERROR(VALUE(TRIM(SUBSTITUTE(AB52,CHAR(160),""))),0),2),
"KO : Le montant retenu TTC est supérieur au montant présenté TTC. Merci de revoir la ligne de dépense ou plafonner son montant.",
ROUND(IFERROR(VALUE(TRIM(SUBSTITUTE(BF52,CHAR(160),""))),0),2)&gt;
ROUND(IFERROR(VALUE(TRIM(SUBSTITUTE(Z52,CHAR(160),""))),0),2),
"Attention : Le montant retenu HT est supérieur au montant HT présenté. Merci de revoir la ligne de dépense, plafonner son montant, ou justifier la reventillation HT / TVA.",
ROUND(IFERROR(VALUE(TRIM(SUBSTITUTE(BG52,CHAR(160),""))),0),2)&gt;
ROUND(IFERROR(VALUE(TRIM(SUBSTITUTE(AA52,CHAR(160),""))),0),2),
"Attention : Le montant TVA retenu est supérieur au montant TVA présenté. Merci de revoir la ligne de dépense, plafonner son montant, ou justifier la reventillation HT / TVA.",
ROUND(IFERROR(VALUE(TRIM(SUBSTITUTE(AB52,CHAR(160),""))),0),2)=0,
"",
ROUND(IFERROR(VALUE(TRIM(SUBSTITUTE(BH52,CHAR(160),""))),0),2)=
ROUND(IFERROR(VALUE(TRIM(SUBSTITUTE(AB52,CHAR(160),""))),0),2),
"OK",
ROUND(IFERROR(VALUE(TRIM(SUBSTITUTE(BH52,CHAR(160),""))),0),2)=0,
"Attention : Montant présenté entièrement rejeté.",
ROUND(IFERROR(VALUE(TRIM(SUBSTITUTE(BH52,CHAR(160),""))),0),2)&lt;
ROUND(IFERROR(VALUE(TRIM(SUBSTITUTE(AB52,CHAR(160),""))),0),2),
"Attention : Montant présenté partiellement rejeté.",
TRUE,""
))</f>
        <v/>
      </c>
      <c r="BL52" s="773" t="str">
        <f t="shared" si="48"/>
        <v/>
      </c>
      <c r="BM52" s="773" t="str">
        <f t="shared" si="49"/>
        <v/>
      </c>
      <c r="BN52" s="773" t="str">
        <f t="shared" si="50"/>
        <v/>
      </c>
    </row>
    <row r="53" spans="1:66" ht="15" customHeight="1">
      <c r="A53" s="193">
        <v>49</v>
      </c>
      <c r="B53" s="7"/>
      <c r="C53" s="9"/>
      <c r="D53" s="30"/>
      <c r="E53" s="36"/>
      <c r="F53" s="34"/>
      <c r="G53" s="35"/>
      <c r="H53" s="685"/>
      <c r="I53" s="786"/>
      <c r="J53" s="792"/>
      <c r="K53" s="758"/>
      <c r="L53" s="761"/>
      <c r="M53" s="762"/>
      <c r="N53" s="808" t="str">
        <f t="shared" si="21"/>
        <v/>
      </c>
      <c r="O53" s="846"/>
      <c r="P53" s="847"/>
      <c r="Q53" s="762"/>
      <c r="R53" s="762"/>
      <c r="S53" s="808" t="str">
        <f t="shared" si="22"/>
        <v/>
      </c>
      <c r="T53" s="850"/>
      <c r="U53" s="847"/>
      <c r="V53" s="762"/>
      <c r="W53" s="762"/>
      <c r="X53" s="830" t="str">
        <f t="shared" si="23"/>
        <v/>
      </c>
      <c r="Y53" s="246"/>
      <c r="Z53" s="284" t="str" cm="1">
        <f t="array" ref="Z53">IF((_xlfn.IFS(TRIM(SUBSTITUTE(Y53,CHAR(160),""))="Devis 1",IFERROR(VALUE(TRIM(SUBSTITUTE(L53,CHAR(160),""))),0),TRIM(SUBSTITUTE(Y53,CHAR(160),""))="Devis 2",IFERROR(VALUE(TRIM(SUBSTITUTE(Q53,CHAR(160),""))),0),TRIM(SUBSTITUTE(Y53,CHAR(160),""))="Devis 3",IFERROR(VALUE(TRIM(SUBSTITUTE(V53,CHAR(160),""))),0),TRUE,0)*IFERROR(VALUE(TRIM(SUBSTITUTE(C53,CHAR(160),""))),0))=0,"",_xlfn.IFS(TRIM(SUBSTITUTE(Y53,CHAR(160),""))="Devis 1",IFERROR(VALUE(TRIM(SUBSTITUTE(L53,CHAR(160),""))),0),TRIM(SUBSTITUTE(Y53,CHAR(160),""))="Devis 2",IFERROR(VALUE(TRIM(SUBSTITUTE(Q53,CHAR(160),""))),0),TRIM(SUBSTITUTE(Y53,CHAR(160),""))="Devis 3",IFERROR(VALUE(TRIM(SUBSTITUTE(V53,CHAR(160),""))),0),TRUE,0)*IFERROR(VALUE(TRIM(SUBSTITUTE(C53,CHAR(160),""))),0))</f>
        <v/>
      </c>
      <c r="AA53" s="275" t="str" cm="1">
        <f t="array" ref="AA53">IF((_xlfn.IFS(TRIM(SUBSTITUTE(Y53,CHAR(160),""))="Devis 1",IFERROR(VALUE(TRIM(SUBSTITUTE(M53,CHAR(160),""))),0),TRIM(SUBSTITUTE(Y53,CHAR(160),""))="Devis 2",IFERROR(VALUE(TRIM(SUBSTITUTE(R53,CHAR(160),""))),0),TRIM(SUBSTITUTE(Y53,CHAR(160),""))="Devis 3",IFERROR(VALUE(TRIM(SUBSTITUTE(W53,CHAR(160),""))),0),TRUE,0)*IFERROR(VALUE(TRIM(SUBSTITUTE(C53,CHAR(160),""))),0))=0,IF(Z53&lt;&gt;"",0,""),_xlfn.IFS(TRIM(SUBSTITUTE(Y53,CHAR(160),""))="Devis 1",IFERROR(VALUE(TRIM(SUBSTITUTE(M53,CHAR(160),""))),0),TRIM(SUBSTITUTE(Y53,CHAR(160),""))="Devis 2",IFERROR(VALUE(TRIM(SUBSTITUTE(R53,CHAR(160),""))),0),TRIM(SUBSTITUTE(Y53,CHAR(160),""))="Devis 3",IFERROR(VALUE(TRIM(SUBSTITUTE(W53,CHAR(160),""))),0),TRUE,0)*IFERROR(VALUE(TRIM(SUBSTITUTE(C53,CHAR(160),""))),0))</f>
        <v/>
      </c>
      <c r="AB53" s="285" t="str">
        <f t="shared" si="24"/>
        <v/>
      </c>
      <c r="AC53" s="209"/>
      <c r="AD53" s="747" t="str">
        <f t="shared" si="51"/>
        <v/>
      </c>
      <c r="AE53" s="747" t="str">
        <f t="shared" si="52"/>
        <v/>
      </c>
      <c r="AF53" s="747" t="str">
        <f t="shared" si="53"/>
        <v/>
      </c>
      <c r="AG53" s="747" t="str">
        <f t="shared" si="54"/>
        <v/>
      </c>
      <c r="AH53" s="747" t="str">
        <f t="shared" si="55"/>
        <v/>
      </c>
      <c r="AI53" s="747" t="str">
        <f t="shared" si="25"/>
        <v/>
      </c>
      <c r="AJ53" s="747" t="str">
        <f t="shared" si="26"/>
        <v/>
      </c>
      <c r="AK53" s="776" t="str">
        <f t="shared" si="27"/>
        <v/>
      </c>
      <c r="AL53" s="802" t="str">
        <f t="shared" si="28"/>
        <v/>
      </c>
      <c r="AM53" s="747" t="str">
        <f t="shared" si="29"/>
        <v/>
      </c>
      <c r="AN53" s="771" t="str">
        <f t="shared" si="30"/>
        <v/>
      </c>
      <c r="AO53" s="771" t="str">
        <f t="shared" si="31"/>
        <v/>
      </c>
      <c r="AP53" s="808" t="str">
        <f t="shared" si="32"/>
        <v/>
      </c>
      <c r="AQ53" s="819" t="str">
        <f t="shared" si="33"/>
        <v/>
      </c>
      <c r="AR53" s="771" t="str">
        <f t="shared" si="34"/>
        <v/>
      </c>
      <c r="AS53" s="771" t="str">
        <f t="shared" si="35"/>
        <v/>
      </c>
      <c r="AT53" s="771" t="str">
        <f t="shared" si="36"/>
        <v/>
      </c>
      <c r="AU53" s="808" t="str">
        <f t="shared" si="37"/>
        <v/>
      </c>
      <c r="AV53" s="842" t="str">
        <f t="shared" si="38"/>
        <v/>
      </c>
      <c r="AW53" s="771" t="str">
        <f t="shared" si="39"/>
        <v/>
      </c>
      <c r="AX53" s="771" t="str">
        <f t="shared" si="40"/>
        <v/>
      </c>
      <c r="AY53" s="771" t="str">
        <f t="shared" si="41"/>
        <v/>
      </c>
      <c r="AZ53" s="831" t="str">
        <f t="shared" si="42"/>
        <v/>
      </c>
      <c r="BA53" s="835" t="str">
        <f t="shared" si="43"/>
        <v/>
      </c>
      <c r="BB53" s="772"/>
      <c r="BC53" s="275" t="str">
        <f t="shared" si="44"/>
        <v/>
      </c>
      <c r="BD53" s="275" t="str">
        <f t="shared" si="45"/>
        <v/>
      </c>
      <c r="BE53" s="886" t="str">
        <f t="shared" si="46"/>
        <v/>
      </c>
      <c r="BF53" s="873" t="str" cm="1">
        <f t="array" ref="BF53">IF($AE53="","",
_xlfn.IFS(
$BA53="Devis 1",
IF(ISBLANK(AN53),"",IFERROR(VALUE(TRIM(SUBSTITUTE(AN53,CHAR(160),""))),0)*IFERROR(VALUE(TRIM(SUBSTITUTE($AE53,CHAR(160),""))),0)),
$BA53="Devis 2",
IF(ISBLANK(AS53),"",IFERROR(VALUE(TRIM(SUBSTITUTE(AS53,CHAR(160),""))),0)*IFERROR(VALUE(TRIM(SUBSTITUTE($AE53,CHAR(160),""))),0)),
$BA53="Devis 3",
IF(ISBLANK(AX53),"",IFERROR(VALUE(TRIM(SUBSTITUTE(AX53,CHAR(160),""))),0)*IFERROR(VALUE(TRIM(SUBSTITUTE($AE53,CHAR(160),""))),0)),
TRUE,0
)
)</f>
        <v/>
      </c>
      <c r="BG53" s="873" t="str" cm="1">
        <f t="array" ref="BG53">IF($AE53="","",
_xlfn.IFS(
$BA53="Devis 1",
IF(ISBLANK(AO53),"",IFERROR(VALUE(TRIM(SUBSTITUTE(AO53,CHAR(160),""))),0)*IFERROR(VALUE(TRIM(SUBSTITUTE($AE53,CHAR(160),""))),0)),
$BA53="Devis 2",
IF(ISBLANK(AT53),"",IFERROR(VALUE(TRIM(SUBSTITUTE(AT53,CHAR(160),""))),0)*IFERROR(VALUE(TRIM(SUBSTITUTE($AE53,CHAR(160),""))),0)),
$BA53="Devis 3",
IF(ISBLANK(AY53),"",IFERROR(VALUE(TRIM(SUBSTITUTE(AY53,CHAR(160),""))),0)*IFERROR(VALUE(TRIM(SUBSTITUTE($AE53,CHAR(160),""))),0)),
TRUE,0
)
)</f>
        <v/>
      </c>
      <c r="BH53" s="874" t="str">
        <f t="shared" si="47"/>
        <v/>
      </c>
      <c r="BI53" s="866"/>
      <c r="BJ53" s="774" t="str" cm="1">
        <f t="array" ref="BJ53">IF(OR(BH53="",BE53="",BF53="",BC53="",BG53="",BD53=""),"",_xlfn.IFS(
ROUND(IFERROR(VALUE(TRIM(SUBSTITUTE(BH53,CHAR(160),""))),0),2)&gt;
ROUND(IFERROR(VALUE(TRIM(SUBSTITUTE(BE53,CHAR(160),""))),0),2),
"KO : Le montant retenu TTC est supérieur au montant raisonnable TTC. Merci de revoir la ligne de dépense ou plafonner son montant.",
ROUND(IFERROR(VALUE(TRIM(SUBSTITUTE(BF53,CHAR(160),""))),0),2)&gt;
ROUND(IFERROR(VALUE(TRIM(SUBSTITUTE(BC53,CHAR(160),""))),0),2),
"Attention : Le montant retenu HT est supérieur au montant HT raisonnable. Merci de revoir la ligne de dépense, plafonner son montant, ou justifier la reventillation HT / TVA.",
ROUND(IFERROR(VALUE(TRIM(SUBSTITUTE(BG53,CHAR(160),""))),0),2)&gt;
ROUND(IFERROR(VALUE(TRIM(SUBSTITUTE(BD53,CHAR(160),""))),0),2),
"Attention : Le montant TVA retenu est supérieur au montant TVA raisonnable. Merci de revoir la ligne de dépense, plafonner son montant, ou justifier la reventillation HT / TVA.",
ROUND(IFERROR(VALUE(TRIM(SUBSTITUTE(BH53,CHAR(160),""))),0),2)&gt;
ROUND(IFERROR(VALUE(TRIM(SUBSTITUTE(MIN(N53,S53,X53),CHAR(160),""))),0),2),
"Attention : Le devis retenu n'est pas le moins cher. Une justification de la part du porteur est nécessaire.",
ROUND(IFERROR(VALUE(TRIM(SUBSTITUTE(BH53,CHAR(160),""))),0),2)=0,
"Attention : montant présenté entièrement écarté",
ROUND(IFERROR(VALUE(TRIM(SUBSTITUTE(BE53,CHAR(160),""))),0),2)=
ROUND(IFERROR(VALUE(TRIM(SUBSTITUTE(BH53,CHAR(160),""))),0),2),
"OK",
ROUND(IFERROR(VALUE(TRIM(SUBSTITUTE(BE53,CHAR(160),""))),0),2)&gt;
ROUND(IFERROR(VALUE(TRIM(SUBSTITUTE(BH53,CHAR(160),""))),0),2),
" OK : Montant instruit inférieur au montant raisonnable.",
TRUE,""
))</f>
        <v/>
      </c>
      <c r="BK53" s="774" t="str" cm="1">
        <f t="array" ref="BK53">IF(OR(BH53="",AB53="",BF53="",Z53="",BG53="",AA53=""),"",_xlfn.IFS(
ROUND(IFERROR(VALUE(TRIM(SUBSTITUTE(BH53,CHAR(160),""))),0),2)&gt;
ROUND(IFERROR(VALUE(TRIM(SUBSTITUTE(AB53,CHAR(160),""))),0),2),
"KO : Le montant retenu TTC est supérieur au montant présenté TTC. Merci de revoir la ligne de dépense ou plafonner son montant.",
ROUND(IFERROR(VALUE(TRIM(SUBSTITUTE(BF53,CHAR(160),""))),0),2)&gt;
ROUND(IFERROR(VALUE(TRIM(SUBSTITUTE(Z53,CHAR(160),""))),0),2),
"Attention : Le montant retenu HT est supérieur au montant HT présenté. Merci de revoir la ligne de dépense, plafonner son montant, ou justifier la reventillation HT / TVA.",
ROUND(IFERROR(VALUE(TRIM(SUBSTITUTE(BG53,CHAR(160),""))),0),2)&gt;
ROUND(IFERROR(VALUE(TRIM(SUBSTITUTE(AA53,CHAR(160),""))),0),2),
"Attention : Le montant TVA retenu est supérieur au montant TVA présenté. Merci de revoir la ligne de dépense, plafonner son montant, ou justifier la reventillation HT / TVA.",
ROUND(IFERROR(VALUE(TRIM(SUBSTITUTE(AB53,CHAR(160),""))),0),2)=0,
"",
ROUND(IFERROR(VALUE(TRIM(SUBSTITUTE(BH53,CHAR(160),""))),0),2)=
ROUND(IFERROR(VALUE(TRIM(SUBSTITUTE(AB53,CHAR(160),""))),0),2),
"OK",
ROUND(IFERROR(VALUE(TRIM(SUBSTITUTE(BH53,CHAR(160),""))),0),2)=0,
"Attention : Montant présenté entièrement rejeté.",
ROUND(IFERROR(VALUE(TRIM(SUBSTITUTE(BH53,CHAR(160),""))),0),2)&lt;
ROUND(IFERROR(VALUE(TRIM(SUBSTITUTE(AB53,CHAR(160),""))),0),2),
"Attention : Montant présenté partiellement rejeté.",
TRUE,""
))</f>
        <v/>
      </c>
      <c r="BL53" s="773" t="str">
        <f t="shared" si="48"/>
        <v/>
      </c>
      <c r="BM53" s="773" t="str">
        <f t="shared" si="49"/>
        <v/>
      </c>
      <c r="BN53" s="773" t="str">
        <f t="shared" si="50"/>
        <v/>
      </c>
    </row>
    <row r="54" spans="1:66" ht="15" customHeight="1">
      <c r="A54" s="193">
        <v>50</v>
      </c>
      <c r="B54" s="7"/>
      <c r="C54" s="9"/>
      <c r="D54" s="30"/>
      <c r="E54" s="36"/>
      <c r="F54" s="34"/>
      <c r="G54" s="35"/>
      <c r="H54" s="685"/>
      <c r="I54" s="786"/>
      <c r="J54" s="792"/>
      <c r="K54" s="758"/>
      <c r="L54" s="761"/>
      <c r="M54" s="762"/>
      <c r="N54" s="808" t="str">
        <f t="shared" si="21"/>
        <v/>
      </c>
      <c r="O54" s="846"/>
      <c r="P54" s="847"/>
      <c r="Q54" s="762"/>
      <c r="R54" s="762"/>
      <c r="S54" s="808" t="str">
        <f t="shared" si="22"/>
        <v/>
      </c>
      <c r="T54" s="850"/>
      <c r="U54" s="847"/>
      <c r="V54" s="762"/>
      <c r="W54" s="762"/>
      <c r="X54" s="830" t="str">
        <f t="shared" si="23"/>
        <v/>
      </c>
      <c r="Y54" s="246"/>
      <c r="Z54" s="284" t="str" cm="1">
        <f t="array" ref="Z54">IF((_xlfn.IFS(TRIM(SUBSTITUTE(Y54,CHAR(160),""))="Devis 1",IFERROR(VALUE(TRIM(SUBSTITUTE(L54,CHAR(160),""))),0),TRIM(SUBSTITUTE(Y54,CHAR(160),""))="Devis 2",IFERROR(VALUE(TRIM(SUBSTITUTE(Q54,CHAR(160),""))),0),TRIM(SUBSTITUTE(Y54,CHAR(160),""))="Devis 3",IFERROR(VALUE(TRIM(SUBSTITUTE(V54,CHAR(160),""))),0),TRUE,0)*IFERROR(VALUE(TRIM(SUBSTITUTE(C54,CHAR(160),""))),0))=0,"",_xlfn.IFS(TRIM(SUBSTITUTE(Y54,CHAR(160),""))="Devis 1",IFERROR(VALUE(TRIM(SUBSTITUTE(L54,CHAR(160),""))),0),TRIM(SUBSTITUTE(Y54,CHAR(160),""))="Devis 2",IFERROR(VALUE(TRIM(SUBSTITUTE(Q54,CHAR(160),""))),0),TRIM(SUBSTITUTE(Y54,CHAR(160),""))="Devis 3",IFERROR(VALUE(TRIM(SUBSTITUTE(V54,CHAR(160),""))),0),TRUE,0)*IFERROR(VALUE(TRIM(SUBSTITUTE(C54,CHAR(160),""))),0))</f>
        <v/>
      </c>
      <c r="AA54" s="275" t="str" cm="1">
        <f t="array" ref="AA54">IF((_xlfn.IFS(TRIM(SUBSTITUTE(Y54,CHAR(160),""))="Devis 1",IFERROR(VALUE(TRIM(SUBSTITUTE(M54,CHAR(160),""))),0),TRIM(SUBSTITUTE(Y54,CHAR(160),""))="Devis 2",IFERROR(VALUE(TRIM(SUBSTITUTE(R54,CHAR(160),""))),0),TRIM(SUBSTITUTE(Y54,CHAR(160),""))="Devis 3",IFERROR(VALUE(TRIM(SUBSTITUTE(W54,CHAR(160),""))),0),TRUE,0)*IFERROR(VALUE(TRIM(SUBSTITUTE(C54,CHAR(160),""))),0))=0,IF(Z54&lt;&gt;"",0,""),_xlfn.IFS(TRIM(SUBSTITUTE(Y54,CHAR(160),""))="Devis 1",IFERROR(VALUE(TRIM(SUBSTITUTE(M54,CHAR(160),""))),0),TRIM(SUBSTITUTE(Y54,CHAR(160),""))="Devis 2",IFERROR(VALUE(TRIM(SUBSTITUTE(R54,CHAR(160),""))),0),TRIM(SUBSTITUTE(Y54,CHAR(160),""))="Devis 3",IFERROR(VALUE(TRIM(SUBSTITUTE(W54,CHAR(160),""))),0),TRUE,0)*IFERROR(VALUE(TRIM(SUBSTITUTE(C54,CHAR(160),""))),0))</f>
        <v/>
      </c>
      <c r="AB54" s="285" t="str">
        <f t="shared" si="24"/>
        <v/>
      </c>
      <c r="AC54" s="209"/>
      <c r="AD54" s="747" t="str">
        <f t="shared" si="51"/>
        <v/>
      </c>
      <c r="AE54" s="747" t="str">
        <f t="shared" si="52"/>
        <v/>
      </c>
      <c r="AF54" s="747" t="str">
        <f t="shared" si="53"/>
        <v/>
      </c>
      <c r="AG54" s="747" t="str">
        <f t="shared" si="54"/>
        <v/>
      </c>
      <c r="AH54" s="747" t="str">
        <f t="shared" si="55"/>
        <v/>
      </c>
      <c r="AI54" s="747" t="str">
        <f t="shared" si="25"/>
        <v/>
      </c>
      <c r="AJ54" s="747" t="str">
        <f t="shared" si="26"/>
        <v/>
      </c>
      <c r="AK54" s="776" t="str">
        <f t="shared" si="27"/>
        <v/>
      </c>
      <c r="AL54" s="802" t="str">
        <f t="shared" si="28"/>
        <v/>
      </c>
      <c r="AM54" s="747" t="str">
        <f t="shared" si="29"/>
        <v/>
      </c>
      <c r="AN54" s="771" t="str">
        <f t="shared" si="30"/>
        <v/>
      </c>
      <c r="AO54" s="771" t="str">
        <f t="shared" si="31"/>
        <v/>
      </c>
      <c r="AP54" s="808" t="str">
        <f t="shared" si="32"/>
        <v/>
      </c>
      <c r="AQ54" s="819" t="str">
        <f t="shared" si="33"/>
        <v/>
      </c>
      <c r="AR54" s="771" t="str">
        <f t="shared" si="34"/>
        <v/>
      </c>
      <c r="AS54" s="771" t="str">
        <f t="shared" si="35"/>
        <v/>
      </c>
      <c r="AT54" s="771" t="str">
        <f t="shared" si="36"/>
        <v/>
      </c>
      <c r="AU54" s="808" t="str">
        <f t="shared" si="37"/>
        <v/>
      </c>
      <c r="AV54" s="842" t="str">
        <f t="shared" si="38"/>
        <v/>
      </c>
      <c r="AW54" s="771" t="str">
        <f t="shared" si="39"/>
        <v/>
      </c>
      <c r="AX54" s="771" t="str">
        <f t="shared" si="40"/>
        <v/>
      </c>
      <c r="AY54" s="771" t="str">
        <f t="shared" si="41"/>
        <v/>
      </c>
      <c r="AZ54" s="831" t="str">
        <f t="shared" si="42"/>
        <v/>
      </c>
      <c r="BA54" s="835" t="str">
        <f t="shared" si="43"/>
        <v/>
      </c>
      <c r="BB54" s="772"/>
      <c r="BC54" s="275" t="str">
        <f t="shared" si="44"/>
        <v/>
      </c>
      <c r="BD54" s="275" t="str">
        <f t="shared" si="45"/>
        <v/>
      </c>
      <c r="BE54" s="886" t="str">
        <f t="shared" si="46"/>
        <v/>
      </c>
      <c r="BF54" s="873" t="str" cm="1">
        <f t="array" ref="BF54">IF($AE54="","",
_xlfn.IFS(
$BA54="Devis 1",
IF(ISBLANK(AN54),"",IFERROR(VALUE(TRIM(SUBSTITUTE(AN54,CHAR(160),""))),0)*IFERROR(VALUE(TRIM(SUBSTITUTE($AE54,CHAR(160),""))),0)),
$BA54="Devis 2",
IF(ISBLANK(AS54),"",IFERROR(VALUE(TRIM(SUBSTITUTE(AS54,CHAR(160),""))),0)*IFERROR(VALUE(TRIM(SUBSTITUTE($AE54,CHAR(160),""))),0)),
$BA54="Devis 3",
IF(ISBLANK(AX54),"",IFERROR(VALUE(TRIM(SUBSTITUTE(AX54,CHAR(160),""))),0)*IFERROR(VALUE(TRIM(SUBSTITUTE($AE54,CHAR(160),""))),0)),
TRUE,0
)
)</f>
        <v/>
      </c>
      <c r="BG54" s="873" t="str" cm="1">
        <f t="array" ref="BG54">IF($AE54="","",
_xlfn.IFS(
$BA54="Devis 1",
IF(ISBLANK(AO54),"",IFERROR(VALUE(TRIM(SUBSTITUTE(AO54,CHAR(160),""))),0)*IFERROR(VALUE(TRIM(SUBSTITUTE($AE54,CHAR(160),""))),0)),
$BA54="Devis 2",
IF(ISBLANK(AT54),"",IFERROR(VALUE(TRIM(SUBSTITUTE(AT54,CHAR(160),""))),0)*IFERROR(VALUE(TRIM(SUBSTITUTE($AE54,CHAR(160),""))),0)),
$BA54="Devis 3",
IF(ISBLANK(AY54),"",IFERROR(VALUE(TRIM(SUBSTITUTE(AY54,CHAR(160),""))),0)*IFERROR(VALUE(TRIM(SUBSTITUTE($AE54,CHAR(160),""))),0)),
TRUE,0
)
)</f>
        <v/>
      </c>
      <c r="BH54" s="874" t="str">
        <f t="shared" si="47"/>
        <v/>
      </c>
      <c r="BI54" s="866"/>
      <c r="BJ54" s="774" t="str" cm="1">
        <f t="array" ref="BJ54">IF(OR(BH54="",BE54="",BF54="",BC54="",BG54="",BD54=""),"",_xlfn.IFS(
ROUND(IFERROR(VALUE(TRIM(SUBSTITUTE(BH54,CHAR(160),""))),0),2)&gt;
ROUND(IFERROR(VALUE(TRIM(SUBSTITUTE(BE54,CHAR(160),""))),0),2),
"KO : Le montant retenu TTC est supérieur au montant raisonnable TTC. Merci de revoir la ligne de dépense ou plafonner son montant.",
ROUND(IFERROR(VALUE(TRIM(SUBSTITUTE(BF54,CHAR(160),""))),0),2)&gt;
ROUND(IFERROR(VALUE(TRIM(SUBSTITUTE(BC54,CHAR(160),""))),0),2),
"Attention : Le montant retenu HT est supérieur au montant HT raisonnable. Merci de revoir la ligne de dépense, plafonner son montant, ou justifier la reventillation HT / TVA.",
ROUND(IFERROR(VALUE(TRIM(SUBSTITUTE(BG54,CHAR(160),""))),0),2)&gt;
ROUND(IFERROR(VALUE(TRIM(SUBSTITUTE(BD54,CHAR(160),""))),0),2),
"Attention : Le montant TVA retenu est supérieur au montant TVA raisonnable. Merci de revoir la ligne de dépense, plafonner son montant, ou justifier la reventillation HT / TVA.",
ROUND(IFERROR(VALUE(TRIM(SUBSTITUTE(BH54,CHAR(160),""))),0),2)&gt;
ROUND(IFERROR(VALUE(TRIM(SUBSTITUTE(MIN(N54,S54,X54),CHAR(160),""))),0),2),
"Attention : Le devis retenu n'est pas le moins cher. Une justification de la part du porteur est nécessaire.",
ROUND(IFERROR(VALUE(TRIM(SUBSTITUTE(BH54,CHAR(160),""))),0),2)=0,
"Attention : montant présenté entièrement écarté",
ROUND(IFERROR(VALUE(TRIM(SUBSTITUTE(BE54,CHAR(160),""))),0),2)=
ROUND(IFERROR(VALUE(TRIM(SUBSTITUTE(BH54,CHAR(160),""))),0),2),
"OK",
ROUND(IFERROR(VALUE(TRIM(SUBSTITUTE(BE54,CHAR(160),""))),0),2)&gt;
ROUND(IFERROR(VALUE(TRIM(SUBSTITUTE(BH54,CHAR(160),""))),0),2),
" OK : Montant instruit inférieur au montant raisonnable.",
TRUE,""
))</f>
        <v/>
      </c>
      <c r="BK54" s="774" t="str" cm="1">
        <f t="array" ref="BK54">IF(OR(BH54="",AB54="",BF54="",Z54="",BG54="",AA54=""),"",_xlfn.IFS(
ROUND(IFERROR(VALUE(TRIM(SUBSTITUTE(BH54,CHAR(160),""))),0),2)&gt;
ROUND(IFERROR(VALUE(TRIM(SUBSTITUTE(AB54,CHAR(160),""))),0),2),
"KO : Le montant retenu TTC est supérieur au montant présenté TTC. Merci de revoir la ligne de dépense ou plafonner son montant.",
ROUND(IFERROR(VALUE(TRIM(SUBSTITUTE(BF54,CHAR(160),""))),0),2)&gt;
ROUND(IFERROR(VALUE(TRIM(SUBSTITUTE(Z54,CHAR(160),""))),0),2),
"Attention : Le montant retenu HT est supérieur au montant HT présenté. Merci de revoir la ligne de dépense, plafonner son montant, ou justifier la reventillation HT / TVA.",
ROUND(IFERROR(VALUE(TRIM(SUBSTITUTE(BG54,CHAR(160),""))),0),2)&gt;
ROUND(IFERROR(VALUE(TRIM(SUBSTITUTE(AA54,CHAR(160),""))),0),2),
"Attention : Le montant TVA retenu est supérieur au montant TVA présenté. Merci de revoir la ligne de dépense, plafonner son montant, ou justifier la reventillation HT / TVA.",
ROUND(IFERROR(VALUE(TRIM(SUBSTITUTE(AB54,CHAR(160),""))),0),2)=0,
"",
ROUND(IFERROR(VALUE(TRIM(SUBSTITUTE(BH54,CHAR(160),""))),0),2)=
ROUND(IFERROR(VALUE(TRIM(SUBSTITUTE(AB54,CHAR(160),""))),0),2),
"OK",
ROUND(IFERROR(VALUE(TRIM(SUBSTITUTE(BH54,CHAR(160),""))),0),2)=0,
"Attention : Montant présenté entièrement rejeté.",
ROUND(IFERROR(VALUE(TRIM(SUBSTITUTE(BH54,CHAR(160),""))),0),2)&lt;
ROUND(IFERROR(VALUE(TRIM(SUBSTITUTE(AB54,CHAR(160),""))),0),2),
"Attention : Montant présenté partiellement rejeté.",
TRUE,""
))</f>
        <v/>
      </c>
      <c r="BL54" s="773" t="str">
        <f t="shared" si="48"/>
        <v/>
      </c>
      <c r="BM54" s="773" t="str">
        <f t="shared" si="49"/>
        <v/>
      </c>
      <c r="BN54" s="773" t="str">
        <f t="shared" si="50"/>
        <v/>
      </c>
    </row>
    <row r="55" spans="1:66" ht="15" customHeight="1">
      <c r="A55" s="193">
        <v>51</v>
      </c>
      <c r="B55" s="7"/>
      <c r="C55" s="9"/>
      <c r="D55" s="30"/>
      <c r="E55" s="36"/>
      <c r="F55" s="34"/>
      <c r="G55" s="35"/>
      <c r="H55" s="685"/>
      <c r="I55" s="786"/>
      <c r="J55" s="792"/>
      <c r="K55" s="758"/>
      <c r="L55" s="761"/>
      <c r="M55" s="762"/>
      <c r="N55" s="808" t="str">
        <f t="shared" si="21"/>
        <v/>
      </c>
      <c r="O55" s="846"/>
      <c r="P55" s="847"/>
      <c r="Q55" s="762"/>
      <c r="R55" s="762"/>
      <c r="S55" s="808" t="str">
        <f t="shared" si="22"/>
        <v/>
      </c>
      <c r="T55" s="850"/>
      <c r="U55" s="847"/>
      <c r="V55" s="762"/>
      <c r="W55" s="762"/>
      <c r="X55" s="830" t="str">
        <f t="shared" si="23"/>
        <v/>
      </c>
      <c r="Y55" s="246"/>
      <c r="Z55" s="284" t="str" cm="1">
        <f t="array" ref="Z55">IF((_xlfn.IFS(TRIM(SUBSTITUTE(Y55,CHAR(160),""))="Devis 1",IFERROR(VALUE(TRIM(SUBSTITUTE(L55,CHAR(160),""))),0),TRIM(SUBSTITUTE(Y55,CHAR(160),""))="Devis 2",IFERROR(VALUE(TRIM(SUBSTITUTE(Q55,CHAR(160),""))),0),TRIM(SUBSTITUTE(Y55,CHAR(160),""))="Devis 3",IFERROR(VALUE(TRIM(SUBSTITUTE(V55,CHAR(160),""))),0),TRUE,0)*IFERROR(VALUE(TRIM(SUBSTITUTE(C55,CHAR(160),""))),0))=0,"",_xlfn.IFS(TRIM(SUBSTITUTE(Y55,CHAR(160),""))="Devis 1",IFERROR(VALUE(TRIM(SUBSTITUTE(L55,CHAR(160),""))),0),TRIM(SUBSTITUTE(Y55,CHAR(160),""))="Devis 2",IFERROR(VALUE(TRIM(SUBSTITUTE(Q55,CHAR(160),""))),0),TRIM(SUBSTITUTE(Y55,CHAR(160),""))="Devis 3",IFERROR(VALUE(TRIM(SUBSTITUTE(V55,CHAR(160),""))),0),TRUE,0)*IFERROR(VALUE(TRIM(SUBSTITUTE(C55,CHAR(160),""))),0))</f>
        <v/>
      </c>
      <c r="AA55" s="275" t="str" cm="1">
        <f t="array" ref="AA55">IF((_xlfn.IFS(TRIM(SUBSTITUTE(Y55,CHAR(160),""))="Devis 1",IFERROR(VALUE(TRIM(SUBSTITUTE(M55,CHAR(160),""))),0),TRIM(SUBSTITUTE(Y55,CHAR(160),""))="Devis 2",IFERROR(VALUE(TRIM(SUBSTITUTE(R55,CHAR(160),""))),0),TRIM(SUBSTITUTE(Y55,CHAR(160),""))="Devis 3",IFERROR(VALUE(TRIM(SUBSTITUTE(W55,CHAR(160),""))),0),TRUE,0)*IFERROR(VALUE(TRIM(SUBSTITUTE(C55,CHAR(160),""))),0))=0,IF(Z55&lt;&gt;"",0,""),_xlfn.IFS(TRIM(SUBSTITUTE(Y55,CHAR(160),""))="Devis 1",IFERROR(VALUE(TRIM(SUBSTITUTE(M55,CHAR(160),""))),0),TRIM(SUBSTITUTE(Y55,CHAR(160),""))="Devis 2",IFERROR(VALUE(TRIM(SUBSTITUTE(R55,CHAR(160),""))),0),TRIM(SUBSTITUTE(Y55,CHAR(160),""))="Devis 3",IFERROR(VALUE(TRIM(SUBSTITUTE(W55,CHAR(160),""))),0),TRUE,0)*IFERROR(VALUE(TRIM(SUBSTITUTE(C55,CHAR(160),""))),0))</f>
        <v/>
      </c>
      <c r="AB55" s="285" t="str">
        <f t="shared" si="24"/>
        <v/>
      </c>
      <c r="AC55" s="209"/>
      <c r="AD55" s="747" t="str">
        <f t="shared" si="51"/>
        <v/>
      </c>
      <c r="AE55" s="747" t="str">
        <f t="shared" si="52"/>
        <v/>
      </c>
      <c r="AF55" s="747" t="str">
        <f t="shared" si="53"/>
        <v/>
      </c>
      <c r="AG55" s="747" t="str">
        <f t="shared" si="54"/>
        <v/>
      </c>
      <c r="AH55" s="747" t="str">
        <f t="shared" si="55"/>
        <v/>
      </c>
      <c r="AI55" s="747" t="str">
        <f t="shared" si="25"/>
        <v/>
      </c>
      <c r="AJ55" s="747" t="str">
        <f t="shared" si="26"/>
        <v/>
      </c>
      <c r="AK55" s="776" t="str">
        <f t="shared" si="27"/>
        <v/>
      </c>
      <c r="AL55" s="802" t="str">
        <f t="shared" si="28"/>
        <v/>
      </c>
      <c r="AM55" s="747" t="str">
        <f t="shared" si="29"/>
        <v/>
      </c>
      <c r="AN55" s="771" t="str">
        <f t="shared" si="30"/>
        <v/>
      </c>
      <c r="AO55" s="771" t="str">
        <f t="shared" si="31"/>
        <v/>
      </c>
      <c r="AP55" s="808" t="str">
        <f t="shared" si="32"/>
        <v/>
      </c>
      <c r="AQ55" s="819" t="str">
        <f t="shared" si="33"/>
        <v/>
      </c>
      <c r="AR55" s="771" t="str">
        <f t="shared" si="34"/>
        <v/>
      </c>
      <c r="AS55" s="771" t="str">
        <f t="shared" si="35"/>
        <v/>
      </c>
      <c r="AT55" s="771" t="str">
        <f t="shared" si="36"/>
        <v/>
      </c>
      <c r="AU55" s="808" t="str">
        <f t="shared" si="37"/>
        <v/>
      </c>
      <c r="AV55" s="842" t="str">
        <f t="shared" si="38"/>
        <v/>
      </c>
      <c r="AW55" s="771" t="str">
        <f t="shared" si="39"/>
        <v/>
      </c>
      <c r="AX55" s="771" t="str">
        <f t="shared" si="40"/>
        <v/>
      </c>
      <c r="AY55" s="771" t="str">
        <f t="shared" si="41"/>
        <v/>
      </c>
      <c r="AZ55" s="831" t="str">
        <f t="shared" si="42"/>
        <v/>
      </c>
      <c r="BA55" s="835" t="str">
        <f t="shared" si="43"/>
        <v/>
      </c>
      <c r="BB55" s="772"/>
      <c r="BC55" s="275" t="str">
        <f t="shared" si="44"/>
        <v/>
      </c>
      <c r="BD55" s="275" t="str">
        <f t="shared" si="45"/>
        <v/>
      </c>
      <c r="BE55" s="886" t="str">
        <f t="shared" si="46"/>
        <v/>
      </c>
      <c r="BF55" s="873" t="str" cm="1">
        <f t="array" ref="BF55">IF($AE55="","",
_xlfn.IFS(
$BA55="Devis 1",
IF(ISBLANK(AN55),"",IFERROR(VALUE(TRIM(SUBSTITUTE(AN55,CHAR(160),""))),0)*IFERROR(VALUE(TRIM(SUBSTITUTE($AE55,CHAR(160),""))),0)),
$BA55="Devis 2",
IF(ISBLANK(AS55),"",IFERROR(VALUE(TRIM(SUBSTITUTE(AS55,CHAR(160),""))),0)*IFERROR(VALUE(TRIM(SUBSTITUTE($AE55,CHAR(160),""))),0)),
$BA55="Devis 3",
IF(ISBLANK(AX55),"",IFERROR(VALUE(TRIM(SUBSTITUTE(AX55,CHAR(160),""))),0)*IFERROR(VALUE(TRIM(SUBSTITUTE($AE55,CHAR(160),""))),0)),
TRUE,0
)
)</f>
        <v/>
      </c>
      <c r="BG55" s="873" t="str" cm="1">
        <f t="array" ref="BG55">IF($AE55="","",
_xlfn.IFS(
$BA55="Devis 1",
IF(ISBLANK(AO55),"",IFERROR(VALUE(TRIM(SUBSTITUTE(AO55,CHAR(160),""))),0)*IFERROR(VALUE(TRIM(SUBSTITUTE($AE55,CHAR(160),""))),0)),
$BA55="Devis 2",
IF(ISBLANK(AT55),"",IFERROR(VALUE(TRIM(SUBSTITUTE(AT55,CHAR(160),""))),0)*IFERROR(VALUE(TRIM(SUBSTITUTE($AE55,CHAR(160),""))),0)),
$BA55="Devis 3",
IF(ISBLANK(AY55),"",IFERROR(VALUE(TRIM(SUBSTITUTE(AY55,CHAR(160),""))),0)*IFERROR(VALUE(TRIM(SUBSTITUTE($AE55,CHAR(160),""))),0)),
TRUE,0
)
)</f>
        <v/>
      </c>
      <c r="BH55" s="874" t="str">
        <f t="shared" si="47"/>
        <v/>
      </c>
      <c r="BI55" s="866"/>
      <c r="BJ55" s="774" t="str" cm="1">
        <f t="array" ref="BJ55">IF(OR(BH55="",BE55="",BF55="",BC55="",BG55="",BD55=""),"",_xlfn.IFS(
ROUND(IFERROR(VALUE(TRIM(SUBSTITUTE(BH55,CHAR(160),""))),0),2)&gt;
ROUND(IFERROR(VALUE(TRIM(SUBSTITUTE(BE55,CHAR(160),""))),0),2),
"KO : Le montant retenu TTC est supérieur au montant raisonnable TTC. Merci de revoir la ligne de dépense ou plafonner son montant.",
ROUND(IFERROR(VALUE(TRIM(SUBSTITUTE(BF55,CHAR(160),""))),0),2)&gt;
ROUND(IFERROR(VALUE(TRIM(SUBSTITUTE(BC55,CHAR(160),""))),0),2),
"Attention : Le montant retenu HT est supérieur au montant HT raisonnable. Merci de revoir la ligne de dépense, plafonner son montant, ou justifier la reventillation HT / TVA.",
ROUND(IFERROR(VALUE(TRIM(SUBSTITUTE(BG55,CHAR(160),""))),0),2)&gt;
ROUND(IFERROR(VALUE(TRIM(SUBSTITUTE(BD55,CHAR(160),""))),0),2),
"Attention : Le montant TVA retenu est supérieur au montant TVA raisonnable. Merci de revoir la ligne de dépense, plafonner son montant, ou justifier la reventillation HT / TVA.",
ROUND(IFERROR(VALUE(TRIM(SUBSTITUTE(BH55,CHAR(160),""))),0),2)&gt;
ROUND(IFERROR(VALUE(TRIM(SUBSTITUTE(MIN(N55,S55,X55),CHAR(160),""))),0),2),
"Attention : Le devis retenu n'est pas le moins cher. Une justification de la part du porteur est nécessaire.",
ROUND(IFERROR(VALUE(TRIM(SUBSTITUTE(BH55,CHAR(160),""))),0),2)=0,
"Attention : montant présenté entièrement écarté",
ROUND(IFERROR(VALUE(TRIM(SUBSTITUTE(BE55,CHAR(160),""))),0),2)=
ROUND(IFERROR(VALUE(TRIM(SUBSTITUTE(BH55,CHAR(160),""))),0),2),
"OK",
ROUND(IFERROR(VALUE(TRIM(SUBSTITUTE(BE55,CHAR(160),""))),0),2)&gt;
ROUND(IFERROR(VALUE(TRIM(SUBSTITUTE(BH55,CHAR(160),""))),0),2),
" OK : Montant instruit inférieur au montant raisonnable.",
TRUE,""
))</f>
        <v/>
      </c>
      <c r="BK55" s="774" t="str" cm="1">
        <f t="array" ref="BK55">IF(OR(BH55="",AB55="",BF55="",Z55="",BG55="",AA55=""),"",_xlfn.IFS(
ROUND(IFERROR(VALUE(TRIM(SUBSTITUTE(BH55,CHAR(160),""))),0),2)&gt;
ROUND(IFERROR(VALUE(TRIM(SUBSTITUTE(AB55,CHAR(160),""))),0),2),
"KO : Le montant retenu TTC est supérieur au montant présenté TTC. Merci de revoir la ligne de dépense ou plafonner son montant.",
ROUND(IFERROR(VALUE(TRIM(SUBSTITUTE(BF55,CHAR(160),""))),0),2)&gt;
ROUND(IFERROR(VALUE(TRIM(SUBSTITUTE(Z55,CHAR(160),""))),0),2),
"Attention : Le montant retenu HT est supérieur au montant HT présenté. Merci de revoir la ligne de dépense, plafonner son montant, ou justifier la reventillation HT / TVA.",
ROUND(IFERROR(VALUE(TRIM(SUBSTITUTE(BG55,CHAR(160),""))),0),2)&gt;
ROUND(IFERROR(VALUE(TRIM(SUBSTITUTE(AA55,CHAR(160),""))),0),2),
"Attention : Le montant TVA retenu est supérieur au montant TVA présenté. Merci de revoir la ligne de dépense, plafonner son montant, ou justifier la reventillation HT / TVA.",
ROUND(IFERROR(VALUE(TRIM(SUBSTITUTE(AB55,CHAR(160),""))),0),2)=0,
"",
ROUND(IFERROR(VALUE(TRIM(SUBSTITUTE(BH55,CHAR(160),""))),0),2)=
ROUND(IFERROR(VALUE(TRIM(SUBSTITUTE(AB55,CHAR(160),""))),0),2),
"OK",
ROUND(IFERROR(VALUE(TRIM(SUBSTITUTE(BH55,CHAR(160),""))),0),2)=0,
"Attention : Montant présenté entièrement rejeté.",
ROUND(IFERROR(VALUE(TRIM(SUBSTITUTE(BH55,CHAR(160),""))),0),2)&lt;
ROUND(IFERROR(VALUE(TRIM(SUBSTITUTE(AB55,CHAR(160),""))),0),2),
"Attention : Montant présenté partiellement rejeté.",
TRUE,""
))</f>
        <v/>
      </c>
      <c r="BL55" s="773" t="str">
        <f t="shared" si="48"/>
        <v/>
      </c>
      <c r="BM55" s="773" t="str">
        <f t="shared" si="49"/>
        <v/>
      </c>
      <c r="BN55" s="773" t="str">
        <f t="shared" si="50"/>
        <v/>
      </c>
    </row>
    <row r="56" spans="1:66" ht="15" customHeight="1">
      <c r="A56" s="193">
        <v>52</v>
      </c>
      <c r="B56" s="7"/>
      <c r="C56" s="9"/>
      <c r="D56" s="30"/>
      <c r="E56" s="36"/>
      <c r="F56" s="34"/>
      <c r="G56" s="35"/>
      <c r="H56" s="685"/>
      <c r="I56" s="786"/>
      <c r="J56" s="792"/>
      <c r="K56" s="758"/>
      <c r="L56" s="761"/>
      <c r="M56" s="762"/>
      <c r="N56" s="808" t="str">
        <f t="shared" si="21"/>
        <v/>
      </c>
      <c r="O56" s="846"/>
      <c r="P56" s="847"/>
      <c r="Q56" s="762"/>
      <c r="R56" s="762"/>
      <c r="S56" s="808" t="str">
        <f t="shared" si="22"/>
        <v/>
      </c>
      <c r="T56" s="850"/>
      <c r="U56" s="847"/>
      <c r="V56" s="762"/>
      <c r="W56" s="762"/>
      <c r="X56" s="830" t="str">
        <f t="shared" si="23"/>
        <v/>
      </c>
      <c r="Y56" s="246"/>
      <c r="Z56" s="284" t="str" cm="1">
        <f t="array" ref="Z56">IF((_xlfn.IFS(TRIM(SUBSTITUTE(Y56,CHAR(160),""))="Devis 1",IFERROR(VALUE(TRIM(SUBSTITUTE(L56,CHAR(160),""))),0),TRIM(SUBSTITUTE(Y56,CHAR(160),""))="Devis 2",IFERROR(VALUE(TRIM(SUBSTITUTE(Q56,CHAR(160),""))),0),TRIM(SUBSTITUTE(Y56,CHAR(160),""))="Devis 3",IFERROR(VALUE(TRIM(SUBSTITUTE(V56,CHAR(160),""))),0),TRUE,0)*IFERROR(VALUE(TRIM(SUBSTITUTE(C56,CHAR(160),""))),0))=0,"",_xlfn.IFS(TRIM(SUBSTITUTE(Y56,CHAR(160),""))="Devis 1",IFERROR(VALUE(TRIM(SUBSTITUTE(L56,CHAR(160),""))),0),TRIM(SUBSTITUTE(Y56,CHAR(160),""))="Devis 2",IFERROR(VALUE(TRIM(SUBSTITUTE(Q56,CHAR(160),""))),0),TRIM(SUBSTITUTE(Y56,CHAR(160),""))="Devis 3",IFERROR(VALUE(TRIM(SUBSTITUTE(V56,CHAR(160),""))),0),TRUE,0)*IFERROR(VALUE(TRIM(SUBSTITUTE(C56,CHAR(160),""))),0))</f>
        <v/>
      </c>
      <c r="AA56" s="275" t="str" cm="1">
        <f t="array" ref="AA56">IF((_xlfn.IFS(TRIM(SUBSTITUTE(Y56,CHAR(160),""))="Devis 1",IFERROR(VALUE(TRIM(SUBSTITUTE(M56,CHAR(160),""))),0),TRIM(SUBSTITUTE(Y56,CHAR(160),""))="Devis 2",IFERROR(VALUE(TRIM(SUBSTITUTE(R56,CHAR(160),""))),0),TRIM(SUBSTITUTE(Y56,CHAR(160),""))="Devis 3",IFERROR(VALUE(TRIM(SUBSTITUTE(W56,CHAR(160),""))),0),TRUE,0)*IFERROR(VALUE(TRIM(SUBSTITUTE(C56,CHAR(160),""))),0))=0,IF(Z56&lt;&gt;"",0,""),_xlfn.IFS(TRIM(SUBSTITUTE(Y56,CHAR(160),""))="Devis 1",IFERROR(VALUE(TRIM(SUBSTITUTE(M56,CHAR(160),""))),0),TRIM(SUBSTITUTE(Y56,CHAR(160),""))="Devis 2",IFERROR(VALUE(TRIM(SUBSTITUTE(R56,CHAR(160),""))),0),TRIM(SUBSTITUTE(Y56,CHAR(160),""))="Devis 3",IFERROR(VALUE(TRIM(SUBSTITUTE(W56,CHAR(160),""))),0),TRUE,0)*IFERROR(VALUE(TRIM(SUBSTITUTE(C56,CHAR(160),""))),0))</f>
        <v/>
      </c>
      <c r="AB56" s="285" t="str">
        <f t="shared" si="24"/>
        <v/>
      </c>
      <c r="AC56" s="209"/>
      <c r="AD56" s="747" t="str">
        <f t="shared" si="51"/>
        <v/>
      </c>
      <c r="AE56" s="747" t="str">
        <f t="shared" si="52"/>
        <v/>
      </c>
      <c r="AF56" s="747" t="str">
        <f t="shared" si="53"/>
        <v/>
      </c>
      <c r="AG56" s="747" t="str">
        <f t="shared" si="54"/>
        <v/>
      </c>
      <c r="AH56" s="747" t="str">
        <f t="shared" si="55"/>
        <v/>
      </c>
      <c r="AI56" s="747" t="str">
        <f t="shared" si="25"/>
        <v/>
      </c>
      <c r="AJ56" s="747" t="str">
        <f t="shared" si="26"/>
        <v/>
      </c>
      <c r="AK56" s="776" t="str">
        <f t="shared" si="27"/>
        <v/>
      </c>
      <c r="AL56" s="802" t="str">
        <f t="shared" si="28"/>
        <v/>
      </c>
      <c r="AM56" s="747" t="str">
        <f t="shared" si="29"/>
        <v/>
      </c>
      <c r="AN56" s="771" t="str">
        <f t="shared" si="30"/>
        <v/>
      </c>
      <c r="AO56" s="771" t="str">
        <f t="shared" si="31"/>
        <v/>
      </c>
      <c r="AP56" s="808" t="str">
        <f t="shared" si="32"/>
        <v/>
      </c>
      <c r="AQ56" s="819" t="str">
        <f t="shared" si="33"/>
        <v/>
      </c>
      <c r="AR56" s="771" t="str">
        <f t="shared" si="34"/>
        <v/>
      </c>
      <c r="AS56" s="771" t="str">
        <f t="shared" si="35"/>
        <v/>
      </c>
      <c r="AT56" s="771" t="str">
        <f t="shared" si="36"/>
        <v/>
      </c>
      <c r="AU56" s="808" t="str">
        <f t="shared" si="37"/>
        <v/>
      </c>
      <c r="AV56" s="842" t="str">
        <f t="shared" si="38"/>
        <v/>
      </c>
      <c r="AW56" s="771" t="str">
        <f t="shared" si="39"/>
        <v/>
      </c>
      <c r="AX56" s="771" t="str">
        <f t="shared" si="40"/>
        <v/>
      </c>
      <c r="AY56" s="771" t="str">
        <f t="shared" si="41"/>
        <v/>
      </c>
      <c r="AZ56" s="831" t="str">
        <f t="shared" si="42"/>
        <v/>
      </c>
      <c r="BA56" s="835" t="str">
        <f t="shared" si="43"/>
        <v/>
      </c>
      <c r="BB56" s="772"/>
      <c r="BC56" s="275" t="str">
        <f t="shared" si="44"/>
        <v/>
      </c>
      <c r="BD56" s="275" t="str">
        <f t="shared" si="45"/>
        <v/>
      </c>
      <c r="BE56" s="886" t="str">
        <f t="shared" si="46"/>
        <v/>
      </c>
      <c r="BF56" s="873" t="str" cm="1">
        <f t="array" ref="BF56">IF($AE56="","",
_xlfn.IFS(
$BA56="Devis 1",
IF(ISBLANK(AN56),"",IFERROR(VALUE(TRIM(SUBSTITUTE(AN56,CHAR(160),""))),0)*IFERROR(VALUE(TRIM(SUBSTITUTE($AE56,CHAR(160),""))),0)),
$BA56="Devis 2",
IF(ISBLANK(AS56),"",IFERROR(VALUE(TRIM(SUBSTITUTE(AS56,CHAR(160),""))),0)*IFERROR(VALUE(TRIM(SUBSTITUTE($AE56,CHAR(160),""))),0)),
$BA56="Devis 3",
IF(ISBLANK(AX56),"",IFERROR(VALUE(TRIM(SUBSTITUTE(AX56,CHAR(160),""))),0)*IFERROR(VALUE(TRIM(SUBSTITUTE($AE56,CHAR(160),""))),0)),
TRUE,0
)
)</f>
        <v/>
      </c>
      <c r="BG56" s="873" t="str" cm="1">
        <f t="array" ref="BG56">IF($AE56="","",
_xlfn.IFS(
$BA56="Devis 1",
IF(ISBLANK(AO56),"",IFERROR(VALUE(TRIM(SUBSTITUTE(AO56,CHAR(160),""))),0)*IFERROR(VALUE(TRIM(SUBSTITUTE($AE56,CHAR(160),""))),0)),
$BA56="Devis 2",
IF(ISBLANK(AT56),"",IFERROR(VALUE(TRIM(SUBSTITUTE(AT56,CHAR(160),""))),0)*IFERROR(VALUE(TRIM(SUBSTITUTE($AE56,CHAR(160),""))),0)),
$BA56="Devis 3",
IF(ISBLANK(AY56),"",IFERROR(VALUE(TRIM(SUBSTITUTE(AY56,CHAR(160),""))),0)*IFERROR(VALUE(TRIM(SUBSTITUTE($AE56,CHAR(160),""))),0)),
TRUE,0
)
)</f>
        <v/>
      </c>
      <c r="BH56" s="874" t="str">
        <f t="shared" si="47"/>
        <v/>
      </c>
      <c r="BI56" s="866"/>
      <c r="BJ56" s="774" t="str" cm="1">
        <f t="array" ref="BJ56">IF(OR(BH56="",BE56="",BF56="",BC56="",BG56="",BD56=""),"",_xlfn.IFS(
ROUND(IFERROR(VALUE(TRIM(SUBSTITUTE(BH56,CHAR(160),""))),0),2)&gt;
ROUND(IFERROR(VALUE(TRIM(SUBSTITUTE(BE56,CHAR(160),""))),0),2),
"KO : Le montant retenu TTC est supérieur au montant raisonnable TTC. Merci de revoir la ligne de dépense ou plafonner son montant.",
ROUND(IFERROR(VALUE(TRIM(SUBSTITUTE(BF56,CHAR(160),""))),0),2)&gt;
ROUND(IFERROR(VALUE(TRIM(SUBSTITUTE(BC56,CHAR(160),""))),0),2),
"Attention : Le montant retenu HT est supérieur au montant HT raisonnable. Merci de revoir la ligne de dépense, plafonner son montant, ou justifier la reventillation HT / TVA.",
ROUND(IFERROR(VALUE(TRIM(SUBSTITUTE(BG56,CHAR(160),""))),0),2)&gt;
ROUND(IFERROR(VALUE(TRIM(SUBSTITUTE(BD56,CHAR(160),""))),0),2),
"Attention : Le montant TVA retenu est supérieur au montant TVA raisonnable. Merci de revoir la ligne de dépense, plafonner son montant, ou justifier la reventillation HT / TVA.",
ROUND(IFERROR(VALUE(TRIM(SUBSTITUTE(BH56,CHAR(160),""))),0),2)&gt;
ROUND(IFERROR(VALUE(TRIM(SUBSTITUTE(MIN(N56,S56,X56),CHAR(160),""))),0),2),
"Attention : Le devis retenu n'est pas le moins cher. Une justification de la part du porteur est nécessaire.",
ROUND(IFERROR(VALUE(TRIM(SUBSTITUTE(BH56,CHAR(160),""))),0),2)=0,
"Attention : montant présenté entièrement écarté",
ROUND(IFERROR(VALUE(TRIM(SUBSTITUTE(BE56,CHAR(160),""))),0),2)=
ROUND(IFERROR(VALUE(TRIM(SUBSTITUTE(BH56,CHAR(160),""))),0),2),
"OK",
ROUND(IFERROR(VALUE(TRIM(SUBSTITUTE(BE56,CHAR(160),""))),0),2)&gt;
ROUND(IFERROR(VALUE(TRIM(SUBSTITUTE(BH56,CHAR(160),""))),0),2),
" OK : Montant instruit inférieur au montant raisonnable.",
TRUE,""
))</f>
        <v/>
      </c>
      <c r="BK56" s="774" t="str" cm="1">
        <f t="array" ref="BK56">IF(OR(BH56="",AB56="",BF56="",Z56="",BG56="",AA56=""),"",_xlfn.IFS(
ROUND(IFERROR(VALUE(TRIM(SUBSTITUTE(BH56,CHAR(160),""))),0),2)&gt;
ROUND(IFERROR(VALUE(TRIM(SUBSTITUTE(AB56,CHAR(160),""))),0),2),
"KO : Le montant retenu TTC est supérieur au montant présenté TTC. Merci de revoir la ligne de dépense ou plafonner son montant.",
ROUND(IFERROR(VALUE(TRIM(SUBSTITUTE(BF56,CHAR(160),""))),0),2)&gt;
ROUND(IFERROR(VALUE(TRIM(SUBSTITUTE(Z56,CHAR(160),""))),0),2),
"Attention : Le montant retenu HT est supérieur au montant HT présenté. Merci de revoir la ligne de dépense, plafonner son montant, ou justifier la reventillation HT / TVA.",
ROUND(IFERROR(VALUE(TRIM(SUBSTITUTE(BG56,CHAR(160),""))),0),2)&gt;
ROUND(IFERROR(VALUE(TRIM(SUBSTITUTE(AA56,CHAR(160),""))),0),2),
"Attention : Le montant TVA retenu est supérieur au montant TVA présenté. Merci de revoir la ligne de dépense, plafonner son montant, ou justifier la reventillation HT / TVA.",
ROUND(IFERROR(VALUE(TRIM(SUBSTITUTE(AB56,CHAR(160),""))),0),2)=0,
"",
ROUND(IFERROR(VALUE(TRIM(SUBSTITUTE(BH56,CHAR(160),""))),0),2)=
ROUND(IFERROR(VALUE(TRIM(SUBSTITUTE(AB56,CHAR(160),""))),0),2),
"OK",
ROUND(IFERROR(VALUE(TRIM(SUBSTITUTE(BH56,CHAR(160),""))),0),2)=0,
"Attention : Montant présenté entièrement rejeté.",
ROUND(IFERROR(VALUE(TRIM(SUBSTITUTE(BH56,CHAR(160),""))),0),2)&lt;
ROUND(IFERROR(VALUE(TRIM(SUBSTITUTE(AB56,CHAR(160),""))),0),2),
"Attention : Montant présenté partiellement rejeté.",
TRUE,""
))</f>
        <v/>
      </c>
      <c r="BL56" s="773" t="str">
        <f t="shared" si="48"/>
        <v/>
      </c>
      <c r="BM56" s="773" t="str">
        <f t="shared" si="49"/>
        <v/>
      </c>
      <c r="BN56" s="773" t="str">
        <f t="shared" si="50"/>
        <v/>
      </c>
    </row>
    <row r="57" spans="1:66" ht="15" customHeight="1">
      <c r="A57" s="193">
        <v>53</v>
      </c>
      <c r="B57" s="7"/>
      <c r="C57" s="9"/>
      <c r="D57" s="30"/>
      <c r="E57" s="36"/>
      <c r="F57" s="34"/>
      <c r="G57" s="35"/>
      <c r="H57" s="685"/>
      <c r="I57" s="786"/>
      <c r="J57" s="792"/>
      <c r="K57" s="758"/>
      <c r="L57" s="761"/>
      <c r="M57" s="762"/>
      <c r="N57" s="808" t="str">
        <f t="shared" si="21"/>
        <v/>
      </c>
      <c r="O57" s="846"/>
      <c r="P57" s="847"/>
      <c r="Q57" s="762"/>
      <c r="R57" s="762"/>
      <c r="S57" s="808" t="str">
        <f t="shared" si="22"/>
        <v/>
      </c>
      <c r="T57" s="850"/>
      <c r="U57" s="847"/>
      <c r="V57" s="762"/>
      <c r="W57" s="762"/>
      <c r="X57" s="830" t="str">
        <f t="shared" si="23"/>
        <v/>
      </c>
      <c r="Y57" s="246"/>
      <c r="Z57" s="284" t="str" cm="1">
        <f t="array" ref="Z57">IF((_xlfn.IFS(TRIM(SUBSTITUTE(Y57,CHAR(160),""))="Devis 1",IFERROR(VALUE(TRIM(SUBSTITUTE(L57,CHAR(160),""))),0),TRIM(SUBSTITUTE(Y57,CHAR(160),""))="Devis 2",IFERROR(VALUE(TRIM(SUBSTITUTE(Q57,CHAR(160),""))),0),TRIM(SUBSTITUTE(Y57,CHAR(160),""))="Devis 3",IFERROR(VALUE(TRIM(SUBSTITUTE(V57,CHAR(160),""))),0),TRUE,0)*IFERROR(VALUE(TRIM(SUBSTITUTE(C57,CHAR(160),""))),0))=0,"",_xlfn.IFS(TRIM(SUBSTITUTE(Y57,CHAR(160),""))="Devis 1",IFERROR(VALUE(TRIM(SUBSTITUTE(L57,CHAR(160),""))),0),TRIM(SUBSTITUTE(Y57,CHAR(160),""))="Devis 2",IFERROR(VALUE(TRIM(SUBSTITUTE(Q57,CHAR(160),""))),0),TRIM(SUBSTITUTE(Y57,CHAR(160),""))="Devis 3",IFERROR(VALUE(TRIM(SUBSTITUTE(V57,CHAR(160),""))),0),TRUE,0)*IFERROR(VALUE(TRIM(SUBSTITUTE(C57,CHAR(160),""))),0))</f>
        <v/>
      </c>
      <c r="AA57" s="275" t="str" cm="1">
        <f t="array" ref="AA57">IF((_xlfn.IFS(TRIM(SUBSTITUTE(Y57,CHAR(160),""))="Devis 1",IFERROR(VALUE(TRIM(SUBSTITUTE(M57,CHAR(160),""))),0),TRIM(SUBSTITUTE(Y57,CHAR(160),""))="Devis 2",IFERROR(VALUE(TRIM(SUBSTITUTE(R57,CHAR(160),""))),0),TRIM(SUBSTITUTE(Y57,CHAR(160),""))="Devis 3",IFERROR(VALUE(TRIM(SUBSTITUTE(W57,CHAR(160),""))),0),TRUE,0)*IFERROR(VALUE(TRIM(SUBSTITUTE(C57,CHAR(160),""))),0))=0,IF(Z57&lt;&gt;"",0,""),_xlfn.IFS(TRIM(SUBSTITUTE(Y57,CHAR(160),""))="Devis 1",IFERROR(VALUE(TRIM(SUBSTITUTE(M57,CHAR(160),""))),0),TRIM(SUBSTITUTE(Y57,CHAR(160),""))="Devis 2",IFERROR(VALUE(TRIM(SUBSTITUTE(R57,CHAR(160),""))),0),TRIM(SUBSTITUTE(Y57,CHAR(160),""))="Devis 3",IFERROR(VALUE(TRIM(SUBSTITUTE(W57,CHAR(160),""))),0),TRUE,0)*IFERROR(VALUE(TRIM(SUBSTITUTE(C57,CHAR(160),""))),0))</f>
        <v/>
      </c>
      <c r="AB57" s="285" t="str">
        <f t="shared" si="24"/>
        <v/>
      </c>
      <c r="AC57" s="209"/>
      <c r="AD57" s="747" t="str">
        <f t="shared" si="51"/>
        <v/>
      </c>
      <c r="AE57" s="747" t="str">
        <f t="shared" si="52"/>
        <v/>
      </c>
      <c r="AF57" s="747" t="str">
        <f t="shared" si="53"/>
        <v/>
      </c>
      <c r="AG57" s="747" t="str">
        <f t="shared" si="54"/>
        <v/>
      </c>
      <c r="AH57" s="747" t="str">
        <f t="shared" si="55"/>
        <v/>
      </c>
      <c r="AI57" s="747" t="str">
        <f t="shared" si="25"/>
        <v/>
      </c>
      <c r="AJ57" s="747" t="str">
        <f t="shared" si="26"/>
        <v/>
      </c>
      <c r="AK57" s="776" t="str">
        <f t="shared" si="27"/>
        <v/>
      </c>
      <c r="AL57" s="802" t="str">
        <f t="shared" si="28"/>
        <v/>
      </c>
      <c r="AM57" s="747" t="str">
        <f t="shared" si="29"/>
        <v/>
      </c>
      <c r="AN57" s="771" t="str">
        <f t="shared" si="30"/>
        <v/>
      </c>
      <c r="AO57" s="771" t="str">
        <f t="shared" si="31"/>
        <v/>
      </c>
      <c r="AP57" s="808" t="str">
        <f t="shared" si="32"/>
        <v/>
      </c>
      <c r="AQ57" s="819" t="str">
        <f t="shared" si="33"/>
        <v/>
      </c>
      <c r="AR57" s="771" t="str">
        <f t="shared" si="34"/>
        <v/>
      </c>
      <c r="AS57" s="771" t="str">
        <f t="shared" si="35"/>
        <v/>
      </c>
      <c r="AT57" s="771" t="str">
        <f t="shared" si="36"/>
        <v/>
      </c>
      <c r="AU57" s="808" t="str">
        <f t="shared" si="37"/>
        <v/>
      </c>
      <c r="AV57" s="842" t="str">
        <f t="shared" si="38"/>
        <v/>
      </c>
      <c r="AW57" s="771" t="str">
        <f t="shared" si="39"/>
        <v/>
      </c>
      <c r="AX57" s="771" t="str">
        <f t="shared" si="40"/>
        <v/>
      </c>
      <c r="AY57" s="771" t="str">
        <f t="shared" si="41"/>
        <v/>
      </c>
      <c r="AZ57" s="831" t="str">
        <f t="shared" si="42"/>
        <v/>
      </c>
      <c r="BA57" s="835" t="str">
        <f t="shared" si="43"/>
        <v/>
      </c>
      <c r="BB57" s="772"/>
      <c r="BC57" s="275" t="str">
        <f t="shared" si="44"/>
        <v/>
      </c>
      <c r="BD57" s="275" t="str">
        <f t="shared" si="45"/>
        <v/>
      </c>
      <c r="BE57" s="886" t="str">
        <f t="shared" si="46"/>
        <v/>
      </c>
      <c r="BF57" s="873" t="str" cm="1">
        <f t="array" ref="BF57">IF($AE57="","",
_xlfn.IFS(
$BA57="Devis 1",
IF(ISBLANK(AN57),"",IFERROR(VALUE(TRIM(SUBSTITUTE(AN57,CHAR(160),""))),0)*IFERROR(VALUE(TRIM(SUBSTITUTE($AE57,CHAR(160),""))),0)),
$BA57="Devis 2",
IF(ISBLANK(AS57),"",IFERROR(VALUE(TRIM(SUBSTITUTE(AS57,CHAR(160),""))),0)*IFERROR(VALUE(TRIM(SUBSTITUTE($AE57,CHAR(160),""))),0)),
$BA57="Devis 3",
IF(ISBLANK(AX57),"",IFERROR(VALUE(TRIM(SUBSTITUTE(AX57,CHAR(160),""))),0)*IFERROR(VALUE(TRIM(SUBSTITUTE($AE57,CHAR(160),""))),0)),
TRUE,0
)
)</f>
        <v/>
      </c>
      <c r="BG57" s="873" t="str" cm="1">
        <f t="array" ref="BG57">IF($AE57="","",
_xlfn.IFS(
$BA57="Devis 1",
IF(ISBLANK(AO57),"",IFERROR(VALUE(TRIM(SUBSTITUTE(AO57,CHAR(160),""))),0)*IFERROR(VALUE(TRIM(SUBSTITUTE($AE57,CHAR(160),""))),0)),
$BA57="Devis 2",
IF(ISBLANK(AT57),"",IFERROR(VALUE(TRIM(SUBSTITUTE(AT57,CHAR(160),""))),0)*IFERROR(VALUE(TRIM(SUBSTITUTE($AE57,CHAR(160),""))),0)),
$BA57="Devis 3",
IF(ISBLANK(AY57),"",IFERROR(VALUE(TRIM(SUBSTITUTE(AY57,CHAR(160),""))),0)*IFERROR(VALUE(TRIM(SUBSTITUTE($AE57,CHAR(160),""))),0)),
TRUE,0
)
)</f>
        <v/>
      </c>
      <c r="BH57" s="874" t="str">
        <f t="shared" si="47"/>
        <v/>
      </c>
      <c r="BI57" s="866"/>
      <c r="BJ57" s="774" t="str" cm="1">
        <f t="array" ref="BJ57">IF(OR(BH57="",BE57="",BF57="",BC57="",BG57="",BD57=""),"",_xlfn.IFS(
ROUND(IFERROR(VALUE(TRIM(SUBSTITUTE(BH57,CHAR(160),""))),0),2)&gt;
ROUND(IFERROR(VALUE(TRIM(SUBSTITUTE(BE57,CHAR(160),""))),0),2),
"KO : Le montant retenu TTC est supérieur au montant raisonnable TTC. Merci de revoir la ligne de dépense ou plafonner son montant.",
ROUND(IFERROR(VALUE(TRIM(SUBSTITUTE(BF57,CHAR(160),""))),0),2)&gt;
ROUND(IFERROR(VALUE(TRIM(SUBSTITUTE(BC57,CHAR(160),""))),0),2),
"Attention : Le montant retenu HT est supérieur au montant HT raisonnable. Merci de revoir la ligne de dépense, plafonner son montant, ou justifier la reventillation HT / TVA.",
ROUND(IFERROR(VALUE(TRIM(SUBSTITUTE(BG57,CHAR(160),""))),0),2)&gt;
ROUND(IFERROR(VALUE(TRIM(SUBSTITUTE(BD57,CHAR(160),""))),0),2),
"Attention : Le montant TVA retenu est supérieur au montant TVA raisonnable. Merci de revoir la ligne de dépense, plafonner son montant, ou justifier la reventillation HT / TVA.",
ROUND(IFERROR(VALUE(TRIM(SUBSTITUTE(BH57,CHAR(160),""))),0),2)&gt;
ROUND(IFERROR(VALUE(TRIM(SUBSTITUTE(MIN(N57,S57,X57),CHAR(160),""))),0),2),
"Attention : Le devis retenu n'est pas le moins cher. Une justification de la part du porteur est nécessaire.",
ROUND(IFERROR(VALUE(TRIM(SUBSTITUTE(BH57,CHAR(160),""))),0),2)=0,
"Attention : montant présenté entièrement écarté",
ROUND(IFERROR(VALUE(TRIM(SUBSTITUTE(BE57,CHAR(160),""))),0),2)=
ROUND(IFERROR(VALUE(TRIM(SUBSTITUTE(BH57,CHAR(160),""))),0),2),
"OK",
ROUND(IFERROR(VALUE(TRIM(SUBSTITUTE(BE57,CHAR(160),""))),0),2)&gt;
ROUND(IFERROR(VALUE(TRIM(SUBSTITUTE(BH57,CHAR(160),""))),0),2),
" OK : Montant instruit inférieur au montant raisonnable.",
TRUE,""
))</f>
        <v/>
      </c>
      <c r="BK57" s="774" t="str" cm="1">
        <f t="array" ref="BK57">IF(OR(BH57="",AB57="",BF57="",Z57="",BG57="",AA57=""),"",_xlfn.IFS(
ROUND(IFERROR(VALUE(TRIM(SUBSTITUTE(BH57,CHAR(160),""))),0),2)&gt;
ROUND(IFERROR(VALUE(TRIM(SUBSTITUTE(AB57,CHAR(160),""))),0),2),
"KO : Le montant retenu TTC est supérieur au montant présenté TTC. Merci de revoir la ligne de dépense ou plafonner son montant.",
ROUND(IFERROR(VALUE(TRIM(SUBSTITUTE(BF57,CHAR(160),""))),0),2)&gt;
ROUND(IFERROR(VALUE(TRIM(SUBSTITUTE(Z57,CHAR(160),""))),0),2),
"Attention : Le montant retenu HT est supérieur au montant HT présenté. Merci de revoir la ligne de dépense, plafonner son montant, ou justifier la reventillation HT / TVA.",
ROUND(IFERROR(VALUE(TRIM(SUBSTITUTE(BG57,CHAR(160),""))),0),2)&gt;
ROUND(IFERROR(VALUE(TRIM(SUBSTITUTE(AA57,CHAR(160),""))),0),2),
"Attention : Le montant TVA retenu est supérieur au montant TVA présenté. Merci de revoir la ligne de dépense, plafonner son montant, ou justifier la reventillation HT / TVA.",
ROUND(IFERROR(VALUE(TRIM(SUBSTITUTE(AB57,CHAR(160),""))),0),2)=0,
"",
ROUND(IFERROR(VALUE(TRIM(SUBSTITUTE(BH57,CHAR(160),""))),0),2)=
ROUND(IFERROR(VALUE(TRIM(SUBSTITUTE(AB57,CHAR(160),""))),0),2),
"OK",
ROUND(IFERROR(VALUE(TRIM(SUBSTITUTE(BH57,CHAR(160),""))),0),2)=0,
"Attention : Montant présenté entièrement rejeté.",
ROUND(IFERROR(VALUE(TRIM(SUBSTITUTE(BH57,CHAR(160),""))),0),2)&lt;
ROUND(IFERROR(VALUE(TRIM(SUBSTITUTE(AB57,CHAR(160),""))),0),2),
"Attention : Montant présenté partiellement rejeté.",
TRUE,""
))</f>
        <v/>
      </c>
      <c r="BL57" s="773" t="str">
        <f t="shared" si="48"/>
        <v/>
      </c>
      <c r="BM57" s="773" t="str">
        <f t="shared" si="49"/>
        <v/>
      </c>
      <c r="BN57" s="773" t="str">
        <f t="shared" si="50"/>
        <v/>
      </c>
    </row>
    <row r="58" spans="1:66" ht="15" customHeight="1">
      <c r="A58" s="193">
        <v>54</v>
      </c>
      <c r="B58" s="7"/>
      <c r="C58" s="9"/>
      <c r="D58" s="30"/>
      <c r="E58" s="36"/>
      <c r="F58" s="34"/>
      <c r="G58" s="35"/>
      <c r="H58" s="685"/>
      <c r="I58" s="786"/>
      <c r="J58" s="792"/>
      <c r="K58" s="758"/>
      <c r="L58" s="761"/>
      <c r="M58" s="762"/>
      <c r="N58" s="808" t="str">
        <f t="shared" si="21"/>
        <v/>
      </c>
      <c r="O58" s="846"/>
      <c r="P58" s="847"/>
      <c r="Q58" s="762"/>
      <c r="R58" s="762"/>
      <c r="S58" s="808" t="str">
        <f t="shared" si="22"/>
        <v/>
      </c>
      <c r="T58" s="850"/>
      <c r="U58" s="847"/>
      <c r="V58" s="762"/>
      <c r="W58" s="762"/>
      <c r="X58" s="830" t="str">
        <f t="shared" si="23"/>
        <v/>
      </c>
      <c r="Y58" s="246"/>
      <c r="Z58" s="284" t="str" cm="1">
        <f t="array" ref="Z58">IF((_xlfn.IFS(TRIM(SUBSTITUTE(Y58,CHAR(160),""))="Devis 1",IFERROR(VALUE(TRIM(SUBSTITUTE(L58,CHAR(160),""))),0),TRIM(SUBSTITUTE(Y58,CHAR(160),""))="Devis 2",IFERROR(VALUE(TRIM(SUBSTITUTE(Q58,CHAR(160),""))),0),TRIM(SUBSTITUTE(Y58,CHAR(160),""))="Devis 3",IFERROR(VALUE(TRIM(SUBSTITUTE(V58,CHAR(160),""))),0),TRUE,0)*IFERROR(VALUE(TRIM(SUBSTITUTE(C58,CHAR(160),""))),0))=0,"",_xlfn.IFS(TRIM(SUBSTITUTE(Y58,CHAR(160),""))="Devis 1",IFERROR(VALUE(TRIM(SUBSTITUTE(L58,CHAR(160),""))),0),TRIM(SUBSTITUTE(Y58,CHAR(160),""))="Devis 2",IFERROR(VALUE(TRIM(SUBSTITUTE(Q58,CHAR(160),""))),0),TRIM(SUBSTITUTE(Y58,CHAR(160),""))="Devis 3",IFERROR(VALUE(TRIM(SUBSTITUTE(V58,CHAR(160),""))),0),TRUE,0)*IFERROR(VALUE(TRIM(SUBSTITUTE(C58,CHAR(160),""))),0))</f>
        <v/>
      </c>
      <c r="AA58" s="275" t="str" cm="1">
        <f t="array" ref="AA58">IF((_xlfn.IFS(TRIM(SUBSTITUTE(Y58,CHAR(160),""))="Devis 1",IFERROR(VALUE(TRIM(SUBSTITUTE(M58,CHAR(160),""))),0),TRIM(SUBSTITUTE(Y58,CHAR(160),""))="Devis 2",IFERROR(VALUE(TRIM(SUBSTITUTE(R58,CHAR(160),""))),0),TRIM(SUBSTITUTE(Y58,CHAR(160),""))="Devis 3",IFERROR(VALUE(TRIM(SUBSTITUTE(W58,CHAR(160),""))),0),TRUE,0)*IFERROR(VALUE(TRIM(SUBSTITUTE(C58,CHAR(160),""))),0))=0,IF(Z58&lt;&gt;"",0,""),_xlfn.IFS(TRIM(SUBSTITUTE(Y58,CHAR(160),""))="Devis 1",IFERROR(VALUE(TRIM(SUBSTITUTE(M58,CHAR(160),""))),0),TRIM(SUBSTITUTE(Y58,CHAR(160),""))="Devis 2",IFERROR(VALUE(TRIM(SUBSTITUTE(R58,CHAR(160),""))),0),TRIM(SUBSTITUTE(Y58,CHAR(160),""))="Devis 3",IFERROR(VALUE(TRIM(SUBSTITUTE(W58,CHAR(160),""))),0),TRUE,0)*IFERROR(VALUE(TRIM(SUBSTITUTE(C58,CHAR(160),""))),0))</f>
        <v/>
      </c>
      <c r="AB58" s="285" t="str">
        <f t="shared" si="24"/>
        <v/>
      </c>
      <c r="AC58" s="209"/>
      <c r="AD58" s="747" t="str">
        <f t="shared" si="51"/>
        <v/>
      </c>
      <c r="AE58" s="747" t="str">
        <f t="shared" si="52"/>
        <v/>
      </c>
      <c r="AF58" s="747" t="str">
        <f t="shared" si="53"/>
        <v/>
      </c>
      <c r="AG58" s="747" t="str">
        <f t="shared" si="54"/>
        <v/>
      </c>
      <c r="AH58" s="747" t="str">
        <f t="shared" si="55"/>
        <v/>
      </c>
      <c r="AI58" s="747" t="str">
        <f t="shared" si="25"/>
        <v/>
      </c>
      <c r="AJ58" s="747" t="str">
        <f t="shared" si="26"/>
        <v/>
      </c>
      <c r="AK58" s="776" t="str">
        <f t="shared" si="27"/>
        <v/>
      </c>
      <c r="AL58" s="802" t="str">
        <f t="shared" si="28"/>
        <v/>
      </c>
      <c r="AM58" s="747" t="str">
        <f t="shared" si="29"/>
        <v/>
      </c>
      <c r="AN58" s="771" t="str">
        <f t="shared" si="30"/>
        <v/>
      </c>
      <c r="AO58" s="771" t="str">
        <f t="shared" si="31"/>
        <v/>
      </c>
      <c r="AP58" s="808" t="str">
        <f t="shared" si="32"/>
        <v/>
      </c>
      <c r="AQ58" s="819" t="str">
        <f t="shared" si="33"/>
        <v/>
      </c>
      <c r="AR58" s="771" t="str">
        <f t="shared" si="34"/>
        <v/>
      </c>
      <c r="AS58" s="771" t="str">
        <f t="shared" si="35"/>
        <v/>
      </c>
      <c r="AT58" s="771" t="str">
        <f t="shared" si="36"/>
        <v/>
      </c>
      <c r="AU58" s="808" t="str">
        <f t="shared" si="37"/>
        <v/>
      </c>
      <c r="AV58" s="842" t="str">
        <f t="shared" si="38"/>
        <v/>
      </c>
      <c r="AW58" s="771" t="str">
        <f t="shared" si="39"/>
        <v/>
      </c>
      <c r="AX58" s="771" t="str">
        <f t="shared" si="40"/>
        <v/>
      </c>
      <c r="AY58" s="771" t="str">
        <f t="shared" si="41"/>
        <v/>
      </c>
      <c r="AZ58" s="831" t="str">
        <f t="shared" si="42"/>
        <v/>
      </c>
      <c r="BA58" s="835" t="str">
        <f t="shared" si="43"/>
        <v/>
      </c>
      <c r="BB58" s="772"/>
      <c r="BC58" s="275" t="str">
        <f t="shared" si="44"/>
        <v/>
      </c>
      <c r="BD58" s="275" t="str">
        <f t="shared" si="45"/>
        <v/>
      </c>
      <c r="BE58" s="886" t="str">
        <f t="shared" si="46"/>
        <v/>
      </c>
      <c r="BF58" s="873" t="str" cm="1">
        <f t="array" ref="BF58">IF($AE58="","",
_xlfn.IFS(
$BA58="Devis 1",
IF(ISBLANK(AN58),"",IFERROR(VALUE(TRIM(SUBSTITUTE(AN58,CHAR(160),""))),0)*IFERROR(VALUE(TRIM(SUBSTITUTE($AE58,CHAR(160),""))),0)),
$BA58="Devis 2",
IF(ISBLANK(AS58),"",IFERROR(VALUE(TRIM(SUBSTITUTE(AS58,CHAR(160),""))),0)*IFERROR(VALUE(TRIM(SUBSTITUTE($AE58,CHAR(160),""))),0)),
$BA58="Devis 3",
IF(ISBLANK(AX58),"",IFERROR(VALUE(TRIM(SUBSTITUTE(AX58,CHAR(160),""))),0)*IFERROR(VALUE(TRIM(SUBSTITUTE($AE58,CHAR(160),""))),0)),
TRUE,0
)
)</f>
        <v/>
      </c>
      <c r="BG58" s="873" t="str" cm="1">
        <f t="array" ref="BG58">IF($AE58="","",
_xlfn.IFS(
$BA58="Devis 1",
IF(ISBLANK(AO58),"",IFERROR(VALUE(TRIM(SUBSTITUTE(AO58,CHAR(160),""))),0)*IFERROR(VALUE(TRIM(SUBSTITUTE($AE58,CHAR(160),""))),0)),
$BA58="Devis 2",
IF(ISBLANK(AT58),"",IFERROR(VALUE(TRIM(SUBSTITUTE(AT58,CHAR(160),""))),0)*IFERROR(VALUE(TRIM(SUBSTITUTE($AE58,CHAR(160),""))),0)),
$BA58="Devis 3",
IF(ISBLANK(AY58),"",IFERROR(VALUE(TRIM(SUBSTITUTE(AY58,CHAR(160),""))),0)*IFERROR(VALUE(TRIM(SUBSTITUTE($AE58,CHAR(160),""))),0)),
TRUE,0
)
)</f>
        <v/>
      </c>
      <c r="BH58" s="874" t="str">
        <f t="shared" si="47"/>
        <v/>
      </c>
      <c r="BI58" s="866"/>
      <c r="BJ58" s="774" t="str" cm="1">
        <f t="array" ref="BJ58">IF(OR(BH58="",BE58="",BF58="",BC58="",BG58="",BD58=""),"",_xlfn.IFS(
ROUND(IFERROR(VALUE(TRIM(SUBSTITUTE(BH58,CHAR(160),""))),0),2)&gt;
ROUND(IFERROR(VALUE(TRIM(SUBSTITUTE(BE58,CHAR(160),""))),0),2),
"KO : Le montant retenu TTC est supérieur au montant raisonnable TTC. Merci de revoir la ligne de dépense ou plafonner son montant.",
ROUND(IFERROR(VALUE(TRIM(SUBSTITUTE(BF58,CHAR(160),""))),0),2)&gt;
ROUND(IFERROR(VALUE(TRIM(SUBSTITUTE(BC58,CHAR(160),""))),0),2),
"Attention : Le montant retenu HT est supérieur au montant HT raisonnable. Merci de revoir la ligne de dépense, plafonner son montant, ou justifier la reventillation HT / TVA.",
ROUND(IFERROR(VALUE(TRIM(SUBSTITUTE(BG58,CHAR(160),""))),0),2)&gt;
ROUND(IFERROR(VALUE(TRIM(SUBSTITUTE(BD58,CHAR(160),""))),0),2),
"Attention : Le montant TVA retenu est supérieur au montant TVA raisonnable. Merci de revoir la ligne de dépense, plafonner son montant, ou justifier la reventillation HT / TVA.",
ROUND(IFERROR(VALUE(TRIM(SUBSTITUTE(BH58,CHAR(160),""))),0),2)&gt;
ROUND(IFERROR(VALUE(TRIM(SUBSTITUTE(MIN(N58,S58,X58),CHAR(160),""))),0),2),
"Attention : Le devis retenu n'est pas le moins cher. Une justification de la part du porteur est nécessaire.",
ROUND(IFERROR(VALUE(TRIM(SUBSTITUTE(BH58,CHAR(160),""))),0),2)=0,
"Attention : montant présenté entièrement écarté",
ROUND(IFERROR(VALUE(TRIM(SUBSTITUTE(BE58,CHAR(160),""))),0),2)=
ROUND(IFERROR(VALUE(TRIM(SUBSTITUTE(BH58,CHAR(160),""))),0),2),
"OK",
ROUND(IFERROR(VALUE(TRIM(SUBSTITUTE(BE58,CHAR(160),""))),0),2)&gt;
ROUND(IFERROR(VALUE(TRIM(SUBSTITUTE(BH58,CHAR(160),""))),0),2),
" OK : Montant instruit inférieur au montant raisonnable.",
TRUE,""
))</f>
        <v/>
      </c>
      <c r="BK58" s="774" t="str" cm="1">
        <f t="array" ref="BK58">IF(OR(BH58="",AB58="",BF58="",Z58="",BG58="",AA58=""),"",_xlfn.IFS(
ROUND(IFERROR(VALUE(TRIM(SUBSTITUTE(BH58,CHAR(160),""))),0),2)&gt;
ROUND(IFERROR(VALUE(TRIM(SUBSTITUTE(AB58,CHAR(160),""))),0),2),
"KO : Le montant retenu TTC est supérieur au montant présenté TTC. Merci de revoir la ligne de dépense ou plafonner son montant.",
ROUND(IFERROR(VALUE(TRIM(SUBSTITUTE(BF58,CHAR(160),""))),0),2)&gt;
ROUND(IFERROR(VALUE(TRIM(SUBSTITUTE(Z58,CHAR(160),""))),0),2),
"Attention : Le montant retenu HT est supérieur au montant HT présenté. Merci de revoir la ligne de dépense, plafonner son montant, ou justifier la reventillation HT / TVA.",
ROUND(IFERROR(VALUE(TRIM(SUBSTITUTE(BG58,CHAR(160),""))),0),2)&gt;
ROUND(IFERROR(VALUE(TRIM(SUBSTITUTE(AA58,CHAR(160),""))),0),2),
"Attention : Le montant TVA retenu est supérieur au montant TVA présenté. Merci de revoir la ligne de dépense, plafonner son montant, ou justifier la reventillation HT / TVA.",
ROUND(IFERROR(VALUE(TRIM(SUBSTITUTE(AB58,CHAR(160),""))),0),2)=0,
"",
ROUND(IFERROR(VALUE(TRIM(SUBSTITUTE(BH58,CHAR(160),""))),0),2)=
ROUND(IFERROR(VALUE(TRIM(SUBSTITUTE(AB58,CHAR(160),""))),0),2),
"OK",
ROUND(IFERROR(VALUE(TRIM(SUBSTITUTE(BH58,CHAR(160),""))),0),2)=0,
"Attention : Montant présenté entièrement rejeté.",
ROUND(IFERROR(VALUE(TRIM(SUBSTITUTE(BH58,CHAR(160),""))),0),2)&lt;
ROUND(IFERROR(VALUE(TRIM(SUBSTITUTE(AB58,CHAR(160),""))),0),2),
"Attention : Montant présenté partiellement rejeté.",
TRUE,""
))</f>
        <v/>
      </c>
      <c r="BL58" s="773" t="str">
        <f t="shared" si="48"/>
        <v/>
      </c>
      <c r="BM58" s="773" t="str">
        <f t="shared" si="49"/>
        <v/>
      </c>
      <c r="BN58" s="773" t="str">
        <f t="shared" si="50"/>
        <v/>
      </c>
    </row>
    <row r="59" spans="1:66" ht="15" customHeight="1">
      <c r="A59" s="193">
        <v>55</v>
      </c>
      <c r="B59" s="7"/>
      <c r="C59" s="9"/>
      <c r="D59" s="30"/>
      <c r="E59" s="36"/>
      <c r="F59" s="34"/>
      <c r="G59" s="35"/>
      <c r="H59" s="685"/>
      <c r="I59" s="786"/>
      <c r="J59" s="792"/>
      <c r="K59" s="758"/>
      <c r="L59" s="761"/>
      <c r="M59" s="762"/>
      <c r="N59" s="808" t="str">
        <f t="shared" si="21"/>
        <v/>
      </c>
      <c r="O59" s="846"/>
      <c r="P59" s="847"/>
      <c r="Q59" s="762"/>
      <c r="R59" s="762"/>
      <c r="S59" s="808" t="str">
        <f t="shared" si="22"/>
        <v/>
      </c>
      <c r="T59" s="850"/>
      <c r="U59" s="847"/>
      <c r="V59" s="762"/>
      <c r="W59" s="762"/>
      <c r="X59" s="830" t="str">
        <f t="shared" si="23"/>
        <v/>
      </c>
      <c r="Y59" s="246"/>
      <c r="Z59" s="284" t="str" cm="1">
        <f t="array" ref="Z59">IF((_xlfn.IFS(TRIM(SUBSTITUTE(Y59,CHAR(160),""))="Devis 1",IFERROR(VALUE(TRIM(SUBSTITUTE(L59,CHAR(160),""))),0),TRIM(SUBSTITUTE(Y59,CHAR(160),""))="Devis 2",IFERROR(VALUE(TRIM(SUBSTITUTE(Q59,CHAR(160),""))),0),TRIM(SUBSTITUTE(Y59,CHAR(160),""))="Devis 3",IFERROR(VALUE(TRIM(SUBSTITUTE(V59,CHAR(160),""))),0),TRUE,0)*IFERROR(VALUE(TRIM(SUBSTITUTE(C59,CHAR(160),""))),0))=0,"",_xlfn.IFS(TRIM(SUBSTITUTE(Y59,CHAR(160),""))="Devis 1",IFERROR(VALUE(TRIM(SUBSTITUTE(L59,CHAR(160),""))),0),TRIM(SUBSTITUTE(Y59,CHAR(160),""))="Devis 2",IFERROR(VALUE(TRIM(SUBSTITUTE(Q59,CHAR(160),""))),0),TRIM(SUBSTITUTE(Y59,CHAR(160),""))="Devis 3",IFERROR(VALUE(TRIM(SUBSTITUTE(V59,CHAR(160),""))),0),TRUE,0)*IFERROR(VALUE(TRIM(SUBSTITUTE(C59,CHAR(160),""))),0))</f>
        <v/>
      </c>
      <c r="AA59" s="275" t="str" cm="1">
        <f t="array" ref="AA59">IF((_xlfn.IFS(TRIM(SUBSTITUTE(Y59,CHAR(160),""))="Devis 1",IFERROR(VALUE(TRIM(SUBSTITUTE(M59,CHAR(160),""))),0),TRIM(SUBSTITUTE(Y59,CHAR(160),""))="Devis 2",IFERROR(VALUE(TRIM(SUBSTITUTE(R59,CHAR(160),""))),0),TRIM(SUBSTITUTE(Y59,CHAR(160),""))="Devis 3",IFERROR(VALUE(TRIM(SUBSTITUTE(W59,CHAR(160),""))),0),TRUE,0)*IFERROR(VALUE(TRIM(SUBSTITUTE(C59,CHAR(160),""))),0))=0,IF(Z59&lt;&gt;"",0,""),_xlfn.IFS(TRIM(SUBSTITUTE(Y59,CHAR(160),""))="Devis 1",IFERROR(VALUE(TRIM(SUBSTITUTE(M59,CHAR(160),""))),0),TRIM(SUBSTITUTE(Y59,CHAR(160),""))="Devis 2",IFERROR(VALUE(TRIM(SUBSTITUTE(R59,CHAR(160),""))),0),TRIM(SUBSTITUTE(Y59,CHAR(160),""))="Devis 3",IFERROR(VALUE(TRIM(SUBSTITUTE(W59,CHAR(160),""))),0),TRUE,0)*IFERROR(VALUE(TRIM(SUBSTITUTE(C59,CHAR(160),""))),0))</f>
        <v/>
      </c>
      <c r="AB59" s="285" t="str">
        <f t="shared" si="24"/>
        <v/>
      </c>
      <c r="AC59" s="209"/>
      <c r="AD59" s="747" t="str">
        <f t="shared" si="51"/>
        <v/>
      </c>
      <c r="AE59" s="747" t="str">
        <f t="shared" si="52"/>
        <v/>
      </c>
      <c r="AF59" s="747" t="str">
        <f t="shared" si="53"/>
        <v/>
      </c>
      <c r="AG59" s="747" t="str">
        <f t="shared" si="54"/>
        <v/>
      </c>
      <c r="AH59" s="747" t="str">
        <f t="shared" si="55"/>
        <v/>
      </c>
      <c r="AI59" s="747" t="str">
        <f t="shared" si="25"/>
        <v/>
      </c>
      <c r="AJ59" s="747" t="str">
        <f t="shared" si="26"/>
        <v/>
      </c>
      <c r="AK59" s="776" t="str">
        <f t="shared" si="27"/>
        <v/>
      </c>
      <c r="AL59" s="802" t="str">
        <f t="shared" si="28"/>
        <v/>
      </c>
      <c r="AM59" s="747" t="str">
        <f t="shared" si="29"/>
        <v/>
      </c>
      <c r="AN59" s="771" t="str">
        <f t="shared" si="30"/>
        <v/>
      </c>
      <c r="AO59" s="771" t="str">
        <f t="shared" si="31"/>
        <v/>
      </c>
      <c r="AP59" s="808" t="str">
        <f t="shared" si="32"/>
        <v/>
      </c>
      <c r="AQ59" s="819" t="str">
        <f t="shared" si="33"/>
        <v/>
      </c>
      <c r="AR59" s="771" t="str">
        <f t="shared" si="34"/>
        <v/>
      </c>
      <c r="AS59" s="771" t="str">
        <f t="shared" si="35"/>
        <v/>
      </c>
      <c r="AT59" s="771" t="str">
        <f t="shared" si="36"/>
        <v/>
      </c>
      <c r="AU59" s="808" t="str">
        <f t="shared" si="37"/>
        <v/>
      </c>
      <c r="AV59" s="842" t="str">
        <f t="shared" si="38"/>
        <v/>
      </c>
      <c r="AW59" s="771" t="str">
        <f t="shared" si="39"/>
        <v/>
      </c>
      <c r="AX59" s="771" t="str">
        <f t="shared" si="40"/>
        <v/>
      </c>
      <c r="AY59" s="771" t="str">
        <f t="shared" si="41"/>
        <v/>
      </c>
      <c r="AZ59" s="831" t="str">
        <f t="shared" si="42"/>
        <v/>
      </c>
      <c r="BA59" s="835" t="str">
        <f t="shared" si="43"/>
        <v/>
      </c>
      <c r="BB59" s="772"/>
      <c r="BC59" s="275" t="str">
        <f t="shared" si="44"/>
        <v/>
      </c>
      <c r="BD59" s="275" t="str">
        <f t="shared" si="45"/>
        <v/>
      </c>
      <c r="BE59" s="886" t="str">
        <f t="shared" si="46"/>
        <v/>
      </c>
      <c r="BF59" s="873" t="str" cm="1">
        <f t="array" ref="BF59">IF($AE59="","",
_xlfn.IFS(
$BA59="Devis 1",
IF(ISBLANK(AN59),"",IFERROR(VALUE(TRIM(SUBSTITUTE(AN59,CHAR(160),""))),0)*IFERROR(VALUE(TRIM(SUBSTITUTE($AE59,CHAR(160),""))),0)),
$BA59="Devis 2",
IF(ISBLANK(AS59),"",IFERROR(VALUE(TRIM(SUBSTITUTE(AS59,CHAR(160),""))),0)*IFERROR(VALUE(TRIM(SUBSTITUTE($AE59,CHAR(160),""))),0)),
$BA59="Devis 3",
IF(ISBLANK(AX59),"",IFERROR(VALUE(TRIM(SUBSTITUTE(AX59,CHAR(160),""))),0)*IFERROR(VALUE(TRIM(SUBSTITUTE($AE59,CHAR(160),""))),0)),
TRUE,0
)
)</f>
        <v/>
      </c>
      <c r="BG59" s="873" t="str" cm="1">
        <f t="array" ref="BG59">IF($AE59="","",
_xlfn.IFS(
$BA59="Devis 1",
IF(ISBLANK(AO59),"",IFERROR(VALUE(TRIM(SUBSTITUTE(AO59,CHAR(160),""))),0)*IFERROR(VALUE(TRIM(SUBSTITUTE($AE59,CHAR(160),""))),0)),
$BA59="Devis 2",
IF(ISBLANK(AT59),"",IFERROR(VALUE(TRIM(SUBSTITUTE(AT59,CHAR(160),""))),0)*IFERROR(VALUE(TRIM(SUBSTITUTE($AE59,CHAR(160),""))),0)),
$BA59="Devis 3",
IF(ISBLANK(AY59),"",IFERROR(VALUE(TRIM(SUBSTITUTE(AY59,CHAR(160),""))),0)*IFERROR(VALUE(TRIM(SUBSTITUTE($AE59,CHAR(160),""))),0)),
TRUE,0
)
)</f>
        <v/>
      </c>
      <c r="BH59" s="874" t="str">
        <f t="shared" si="47"/>
        <v/>
      </c>
      <c r="BI59" s="866"/>
      <c r="BJ59" s="774" t="str" cm="1">
        <f t="array" ref="BJ59">IF(OR(BH59="",BE59="",BF59="",BC59="",BG59="",BD59=""),"",_xlfn.IFS(
ROUND(IFERROR(VALUE(TRIM(SUBSTITUTE(BH59,CHAR(160),""))),0),2)&gt;
ROUND(IFERROR(VALUE(TRIM(SUBSTITUTE(BE59,CHAR(160),""))),0),2),
"KO : Le montant retenu TTC est supérieur au montant raisonnable TTC. Merci de revoir la ligne de dépense ou plafonner son montant.",
ROUND(IFERROR(VALUE(TRIM(SUBSTITUTE(BF59,CHAR(160),""))),0),2)&gt;
ROUND(IFERROR(VALUE(TRIM(SUBSTITUTE(BC59,CHAR(160),""))),0),2),
"Attention : Le montant retenu HT est supérieur au montant HT raisonnable. Merci de revoir la ligne de dépense, plafonner son montant, ou justifier la reventillation HT / TVA.",
ROUND(IFERROR(VALUE(TRIM(SUBSTITUTE(BG59,CHAR(160),""))),0),2)&gt;
ROUND(IFERROR(VALUE(TRIM(SUBSTITUTE(BD59,CHAR(160),""))),0),2),
"Attention : Le montant TVA retenu est supérieur au montant TVA raisonnable. Merci de revoir la ligne de dépense, plafonner son montant, ou justifier la reventillation HT / TVA.",
ROUND(IFERROR(VALUE(TRIM(SUBSTITUTE(BH59,CHAR(160),""))),0),2)&gt;
ROUND(IFERROR(VALUE(TRIM(SUBSTITUTE(MIN(N59,S59,X59),CHAR(160),""))),0),2),
"Attention : Le devis retenu n'est pas le moins cher. Une justification de la part du porteur est nécessaire.",
ROUND(IFERROR(VALUE(TRIM(SUBSTITUTE(BH59,CHAR(160),""))),0),2)=0,
"Attention : montant présenté entièrement écarté",
ROUND(IFERROR(VALUE(TRIM(SUBSTITUTE(BE59,CHAR(160),""))),0),2)=
ROUND(IFERROR(VALUE(TRIM(SUBSTITUTE(BH59,CHAR(160),""))),0),2),
"OK",
ROUND(IFERROR(VALUE(TRIM(SUBSTITUTE(BE59,CHAR(160),""))),0),2)&gt;
ROUND(IFERROR(VALUE(TRIM(SUBSTITUTE(BH59,CHAR(160),""))),0),2),
" OK : Montant instruit inférieur au montant raisonnable.",
TRUE,""
))</f>
        <v/>
      </c>
      <c r="BK59" s="774" t="str" cm="1">
        <f t="array" ref="BK59">IF(OR(BH59="",AB59="",BF59="",Z59="",BG59="",AA59=""),"",_xlfn.IFS(
ROUND(IFERROR(VALUE(TRIM(SUBSTITUTE(BH59,CHAR(160),""))),0),2)&gt;
ROUND(IFERROR(VALUE(TRIM(SUBSTITUTE(AB59,CHAR(160),""))),0),2),
"KO : Le montant retenu TTC est supérieur au montant présenté TTC. Merci de revoir la ligne de dépense ou plafonner son montant.",
ROUND(IFERROR(VALUE(TRIM(SUBSTITUTE(BF59,CHAR(160),""))),0),2)&gt;
ROUND(IFERROR(VALUE(TRIM(SUBSTITUTE(Z59,CHAR(160),""))),0),2),
"Attention : Le montant retenu HT est supérieur au montant HT présenté. Merci de revoir la ligne de dépense, plafonner son montant, ou justifier la reventillation HT / TVA.",
ROUND(IFERROR(VALUE(TRIM(SUBSTITUTE(BG59,CHAR(160),""))),0),2)&gt;
ROUND(IFERROR(VALUE(TRIM(SUBSTITUTE(AA59,CHAR(160),""))),0),2),
"Attention : Le montant TVA retenu est supérieur au montant TVA présenté. Merci de revoir la ligne de dépense, plafonner son montant, ou justifier la reventillation HT / TVA.",
ROUND(IFERROR(VALUE(TRIM(SUBSTITUTE(AB59,CHAR(160),""))),0),2)=0,
"",
ROUND(IFERROR(VALUE(TRIM(SUBSTITUTE(BH59,CHAR(160),""))),0),2)=
ROUND(IFERROR(VALUE(TRIM(SUBSTITUTE(AB59,CHAR(160),""))),0),2),
"OK",
ROUND(IFERROR(VALUE(TRIM(SUBSTITUTE(BH59,CHAR(160),""))),0),2)=0,
"Attention : Montant présenté entièrement rejeté.",
ROUND(IFERROR(VALUE(TRIM(SUBSTITUTE(BH59,CHAR(160),""))),0),2)&lt;
ROUND(IFERROR(VALUE(TRIM(SUBSTITUTE(AB59,CHAR(160),""))),0),2),
"Attention : Montant présenté partiellement rejeté.",
TRUE,""
))</f>
        <v/>
      </c>
      <c r="BL59" s="773" t="str">
        <f t="shared" si="48"/>
        <v/>
      </c>
      <c r="BM59" s="773" t="str">
        <f t="shared" si="49"/>
        <v/>
      </c>
      <c r="BN59" s="773" t="str">
        <f t="shared" si="50"/>
        <v/>
      </c>
    </row>
    <row r="60" spans="1:66" ht="15" customHeight="1">
      <c r="A60" s="193">
        <v>56</v>
      </c>
      <c r="B60" s="7"/>
      <c r="C60" s="9"/>
      <c r="D60" s="30"/>
      <c r="E60" s="36"/>
      <c r="F60" s="34"/>
      <c r="G60" s="35"/>
      <c r="H60" s="685"/>
      <c r="I60" s="786"/>
      <c r="J60" s="792"/>
      <c r="K60" s="758"/>
      <c r="L60" s="761"/>
      <c r="M60" s="762"/>
      <c r="N60" s="808" t="str">
        <f t="shared" si="21"/>
        <v/>
      </c>
      <c r="O60" s="846"/>
      <c r="P60" s="847"/>
      <c r="Q60" s="762"/>
      <c r="R60" s="762"/>
      <c r="S60" s="808" t="str">
        <f t="shared" si="22"/>
        <v/>
      </c>
      <c r="T60" s="850"/>
      <c r="U60" s="847"/>
      <c r="V60" s="762"/>
      <c r="W60" s="762"/>
      <c r="X60" s="830" t="str">
        <f t="shared" si="23"/>
        <v/>
      </c>
      <c r="Y60" s="246"/>
      <c r="Z60" s="284" t="str" cm="1">
        <f t="array" ref="Z60">IF((_xlfn.IFS(TRIM(SUBSTITUTE(Y60,CHAR(160),""))="Devis 1",IFERROR(VALUE(TRIM(SUBSTITUTE(L60,CHAR(160),""))),0),TRIM(SUBSTITUTE(Y60,CHAR(160),""))="Devis 2",IFERROR(VALUE(TRIM(SUBSTITUTE(Q60,CHAR(160),""))),0),TRIM(SUBSTITUTE(Y60,CHAR(160),""))="Devis 3",IFERROR(VALUE(TRIM(SUBSTITUTE(V60,CHAR(160),""))),0),TRUE,0)*IFERROR(VALUE(TRIM(SUBSTITUTE(C60,CHAR(160),""))),0))=0,"",_xlfn.IFS(TRIM(SUBSTITUTE(Y60,CHAR(160),""))="Devis 1",IFERROR(VALUE(TRIM(SUBSTITUTE(L60,CHAR(160),""))),0),TRIM(SUBSTITUTE(Y60,CHAR(160),""))="Devis 2",IFERROR(VALUE(TRIM(SUBSTITUTE(Q60,CHAR(160),""))),0),TRIM(SUBSTITUTE(Y60,CHAR(160),""))="Devis 3",IFERROR(VALUE(TRIM(SUBSTITUTE(V60,CHAR(160),""))),0),TRUE,0)*IFERROR(VALUE(TRIM(SUBSTITUTE(C60,CHAR(160),""))),0))</f>
        <v/>
      </c>
      <c r="AA60" s="275" t="str" cm="1">
        <f t="array" ref="AA60">IF((_xlfn.IFS(TRIM(SUBSTITUTE(Y60,CHAR(160),""))="Devis 1",IFERROR(VALUE(TRIM(SUBSTITUTE(M60,CHAR(160),""))),0),TRIM(SUBSTITUTE(Y60,CHAR(160),""))="Devis 2",IFERROR(VALUE(TRIM(SUBSTITUTE(R60,CHAR(160),""))),0),TRIM(SUBSTITUTE(Y60,CHAR(160),""))="Devis 3",IFERROR(VALUE(TRIM(SUBSTITUTE(W60,CHAR(160),""))),0),TRUE,0)*IFERROR(VALUE(TRIM(SUBSTITUTE(C60,CHAR(160),""))),0))=0,IF(Z60&lt;&gt;"",0,""),_xlfn.IFS(TRIM(SUBSTITUTE(Y60,CHAR(160),""))="Devis 1",IFERROR(VALUE(TRIM(SUBSTITUTE(M60,CHAR(160),""))),0),TRIM(SUBSTITUTE(Y60,CHAR(160),""))="Devis 2",IFERROR(VALUE(TRIM(SUBSTITUTE(R60,CHAR(160),""))),0),TRIM(SUBSTITUTE(Y60,CHAR(160),""))="Devis 3",IFERROR(VALUE(TRIM(SUBSTITUTE(W60,CHAR(160),""))),0),TRUE,0)*IFERROR(VALUE(TRIM(SUBSTITUTE(C60,CHAR(160),""))),0))</f>
        <v/>
      </c>
      <c r="AB60" s="285" t="str">
        <f t="shared" si="24"/>
        <v/>
      </c>
      <c r="AC60" s="209"/>
      <c r="AD60" s="747" t="str">
        <f t="shared" si="51"/>
        <v/>
      </c>
      <c r="AE60" s="747" t="str">
        <f t="shared" si="52"/>
        <v/>
      </c>
      <c r="AF60" s="747" t="str">
        <f t="shared" si="53"/>
        <v/>
      </c>
      <c r="AG60" s="747" t="str">
        <f t="shared" si="54"/>
        <v/>
      </c>
      <c r="AH60" s="747" t="str">
        <f t="shared" si="55"/>
        <v/>
      </c>
      <c r="AI60" s="747" t="str">
        <f t="shared" si="25"/>
        <v/>
      </c>
      <c r="AJ60" s="747" t="str">
        <f t="shared" si="26"/>
        <v/>
      </c>
      <c r="AK60" s="776" t="str">
        <f t="shared" si="27"/>
        <v/>
      </c>
      <c r="AL60" s="802" t="str">
        <f t="shared" si="28"/>
        <v/>
      </c>
      <c r="AM60" s="747" t="str">
        <f t="shared" si="29"/>
        <v/>
      </c>
      <c r="AN60" s="771" t="str">
        <f t="shared" si="30"/>
        <v/>
      </c>
      <c r="AO60" s="771" t="str">
        <f t="shared" si="31"/>
        <v/>
      </c>
      <c r="AP60" s="808" t="str">
        <f t="shared" si="32"/>
        <v/>
      </c>
      <c r="AQ60" s="819" t="str">
        <f t="shared" si="33"/>
        <v/>
      </c>
      <c r="AR60" s="771" t="str">
        <f t="shared" si="34"/>
        <v/>
      </c>
      <c r="AS60" s="771" t="str">
        <f t="shared" si="35"/>
        <v/>
      </c>
      <c r="AT60" s="771" t="str">
        <f t="shared" si="36"/>
        <v/>
      </c>
      <c r="AU60" s="808" t="str">
        <f t="shared" si="37"/>
        <v/>
      </c>
      <c r="AV60" s="842" t="str">
        <f t="shared" si="38"/>
        <v/>
      </c>
      <c r="AW60" s="771" t="str">
        <f t="shared" si="39"/>
        <v/>
      </c>
      <c r="AX60" s="771" t="str">
        <f t="shared" si="40"/>
        <v/>
      </c>
      <c r="AY60" s="771" t="str">
        <f t="shared" si="41"/>
        <v/>
      </c>
      <c r="AZ60" s="831" t="str">
        <f t="shared" si="42"/>
        <v/>
      </c>
      <c r="BA60" s="835" t="str">
        <f t="shared" si="43"/>
        <v/>
      </c>
      <c r="BB60" s="772"/>
      <c r="BC60" s="275" t="str">
        <f t="shared" si="44"/>
        <v/>
      </c>
      <c r="BD60" s="275" t="str">
        <f t="shared" si="45"/>
        <v/>
      </c>
      <c r="BE60" s="886" t="str">
        <f t="shared" si="46"/>
        <v/>
      </c>
      <c r="BF60" s="873" t="str" cm="1">
        <f t="array" ref="BF60">IF($AE60="","",
_xlfn.IFS(
$BA60="Devis 1",
IF(ISBLANK(AN60),"",IFERROR(VALUE(TRIM(SUBSTITUTE(AN60,CHAR(160),""))),0)*IFERROR(VALUE(TRIM(SUBSTITUTE($AE60,CHAR(160),""))),0)),
$BA60="Devis 2",
IF(ISBLANK(AS60),"",IFERROR(VALUE(TRIM(SUBSTITUTE(AS60,CHAR(160),""))),0)*IFERROR(VALUE(TRIM(SUBSTITUTE($AE60,CHAR(160),""))),0)),
$BA60="Devis 3",
IF(ISBLANK(AX60),"",IFERROR(VALUE(TRIM(SUBSTITUTE(AX60,CHAR(160),""))),0)*IFERROR(VALUE(TRIM(SUBSTITUTE($AE60,CHAR(160),""))),0)),
TRUE,0
)
)</f>
        <v/>
      </c>
      <c r="BG60" s="873" t="str" cm="1">
        <f t="array" ref="BG60">IF($AE60="","",
_xlfn.IFS(
$BA60="Devis 1",
IF(ISBLANK(AO60),"",IFERROR(VALUE(TRIM(SUBSTITUTE(AO60,CHAR(160),""))),0)*IFERROR(VALUE(TRIM(SUBSTITUTE($AE60,CHAR(160),""))),0)),
$BA60="Devis 2",
IF(ISBLANK(AT60),"",IFERROR(VALUE(TRIM(SUBSTITUTE(AT60,CHAR(160),""))),0)*IFERROR(VALUE(TRIM(SUBSTITUTE($AE60,CHAR(160),""))),0)),
$BA60="Devis 3",
IF(ISBLANK(AY60),"",IFERROR(VALUE(TRIM(SUBSTITUTE(AY60,CHAR(160),""))),0)*IFERROR(VALUE(TRIM(SUBSTITUTE($AE60,CHAR(160),""))),0)),
TRUE,0
)
)</f>
        <v/>
      </c>
      <c r="BH60" s="874" t="str">
        <f t="shared" si="47"/>
        <v/>
      </c>
      <c r="BI60" s="866"/>
      <c r="BJ60" s="774" t="str" cm="1">
        <f t="array" ref="BJ60">IF(OR(BH60="",BE60="",BF60="",BC60="",BG60="",BD60=""),"",_xlfn.IFS(
ROUND(IFERROR(VALUE(TRIM(SUBSTITUTE(BH60,CHAR(160),""))),0),2)&gt;
ROUND(IFERROR(VALUE(TRIM(SUBSTITUTE(BE60,CHAR(160),""))),0),2),
"KO : Le montant retenu TTC est supérieur au montant raisonnable TTC. Merci de revoir la ligne de dépense ou plafonner son montant.",
ROUND(IFERROR(VALUE(TRIM(SUBSTITUTE(BF60,CHAR(160),""))),0),2)&gt;
ROUND(IFERROR(VALUE(TRIM(SUBSTITUTE(BC60,CHAR(160),""))),0),2),
"Attention : Le montant retenu HT est supérieur au montant HT raisonnable. Merci de revoir la ligne de dépense, plafonner son montant, ou justifier la reventillation HT / TVA.",
ROUND(IFERROR(VALUE(TRIM(SUBSTITUTE(BG60,CHAR(160),""))),0),2)&gt;
ROUND(IFERROR(VALUE(TRIM(SUBSTITUTE(BD60,CHAR(160),""))),0),2),
"Attention : Le montant TVA retenu est supérieur au montant TVA raisonnable. Merci de revoir la ligne de dépense, plafonner son montant, ou justifier la reventillation HT / TVA.",
ROUND(IFERROR(VALUE(TRIM(SUBSTITUTE(BH60,CHAR(160),""))),0),2)&gt;
ROUND(IFERROR(VALUE(TRIM(SUBSTITUTE(MIN(N60,S60,X60),CHAR(160),""))),0),2),
"Attention : Le devis retenu n'est pas le moins cher. Une justification de la part du porteur est nécessaire.",
ROUND(IFERROR(VALUE(TRIM(SUBSTITUTE(BH60,CHAR(160),""))),0),2)=0,
"Attention : montant présenté entièrement écarté",
ROUND(IFERROR(VALUE(TRIM(SUBSTITUTE(BE60,CHAR(160),""))),0),2)=
ROUND(IFERROR(VALUE(TRIM(SUBSTITUTE(BH60,CHAR(160),""))),0),2),
"OK",
ROUND(IFERROR(VALUE(TRIM(SUBSTITUTE(BE60,CHAR(160),""))),0),2)&gt;
ROUND(IFERROR(VALUE(TRIM(SUBSTITUTE(BH60,CHAR(160),""))),0),2),
" OK : Montant instruit inférieur au montant raisonnable.",
TRUE,""
))</f>
        <v/>
      </c>
      <c r="BK60" s="774" t="str" cm="1">
        <f t="array" ref="BK60">IF(OR(BH60="",AB60="",BF60="",Z60="",BG60="",AA60=""),"",_xlfn.IFS(
ROUND(IFERROR(VALUE(TRIM(SUBSTITUTE(BH60,CHAR(160),""))),0),2)&gt;
ROUND(IFERROR(VALUE(TRIM(SUBSTITUTE(AB60,CHAR(160),""))),0),2),
"KO : Le montant retenu TTC est supérieur au montant présenté TTC. Merci de revoir la ligne de dépense ou plafonner son montant.",
ROUND(IFERROR(VALUE(TRIM(SUBSTITUTE(BF60,CHAR(160),""))),0),2)&gt;
ROUND(IFERROR(VALUE(TRIM(SUBSTITUTE(Z60,CHAR(160),""))),0),2),
"Attention : Le montant retenu HT est supérieur au montant HT présenté. Merci de revoir la ligne de dépense, plafonner son montant, ou justifier la reventillation HT / TVA.",
ROUND(IFERROR(VALUE(TRIM(SUBSTITUTE(BG60,CHAR(160),""))),0),2)&gt;
ROUND(IFERROR(VALUE(TRIM(SUBSTITUTE(AA60,CHAR(160),""))),0),2),
"Attention : Le montant TVA retenu est supérieur au montant TVA présenté. Merci de revoir la ligne de dépense, plafonner son montant, ou justifier la reventillation HT / TVA.",
ROUND(IFERROR(VALUE(TRIM(SUBSTITUTE(AB60,CHAR(160),""))),0),2)=0,
"",
ROUND(IFERROR(VALUE(TRIM(SUBSTITUTE(BH60,CHAR(160),""))),0),2)=
ROUND(IFERROR(VALUE(TRIM(SUBSTITUTE(AB60,CHAR(160),""))),0),2),
"OK",
ROUND(IFERROR(VALUE(TRIM(SUBSTITUTE(BH60,CHAR(160),""))),0),2)=0,
"Attention : Montant présenté entièrement rejeté.",
ROUND(IFERROR(VALUE(TRIM(SUBSTITUTE(BH60,CHAR(160),""))),0),2)&lt;
ROUND(IFERROR(VALUE(TRIM(SUBSTITUTE(AB60,CHAR(160),""))),0),2),
"Attention : Montant présenté partiellement rejeté.",
TRUE,""
))</f>
        <v/>
      </c>
      <c r="BL60" s="773" t="str">
        <f t="shared" si="48"/>
        <v/>
      </c>
      <c r="BM60" s="773" t="str">
        <f t="shared" si="49"/>
        <v/>
      </c>
      <c r="BN60" s="773" t="str">
        <f t="shared" si="50"/>
        <v/>
      </c>
    </row>
    <row r="61" spans="1:66" ht="15" customHeight="1">
      <c r="A61" s="193">
        <v>57</v>
      </c>
      <c r="B61" s="7"/>
      <c r="C61" s="9"/>
      <c r="D61" s="30"/>
      <c r="E61" s="36"/>
      <c r="F61" s="34"/>
      <c r="G61" s="35"/>
      <c r="H61" s="685"/>
      <c r="I61" s="786"/>
      <c r="J61" s="792"/>
      <c r="K61" s="758"/>
      <c r="L61" s="761"/>
      <c r="M61" s="762"/>
      <c r="N61" s="808" t="str">
        <f t="shared" si="21"/>
        <v/>
      </c>
      <c r="O61" s="846"/>
      <c r="P61" s="847"/>
      <c r="Q61" s="762"/>
      <c r="R61" s="762"/>
      <c r="S61" s="808" t="str">
        <f t="shared" si="22"/>
        <v/>
      </c>
      <c r="T61" s="850"/>
      <c r="U61" s="847"/>
      <c r="V61" s="762"/>
      <c r="W61" s="762"/>
      <c r="X61" s="830" t="str">
        <f t="shared" si="23"/>
        <v/>
      </c>
      <c r="Y61" s="246"/>
      <c r="Z61" s="284" t="str" cm="1">
        <f t="array" ref="Z61">IF((_xlfn.IFS(TRIM(SUBSTITUTE(Y61,CHAR(160),""))="Devis 1",IFERROR(VALUE(TRIM(SUBSTITUTE(L61,CHAR(160),""))),0),TRIM(SUBSTITUTE(Y61,CHAR(160),""))="Devis 2",IFERROR(VALUE(TRIM(SUBSTITUTE(Q61,CHAR(160),""))),0),TRIM(SUBSTITUTE(Y61,CHAR(160),""))="Devis 3",IFERROR(VALUE(TRIM(SUBSTITUTE(V61,CHAR(160),""))),0),TRUE,0)*IFERROR(VALUE(TRIM(SUBSTITUTE(C61,CHAR(160),""))),0))=0,"",_xlfn.IFS(TRIM(SUBSTITUTE(Y61,CHAR(160),""))="Devis 1",IFERROR(VALUE(TRIM(SUBSTITUTE(L61,CHAR(160),""))),0),TRIM(SUBSTITUTE(Y61,CHAR(160),""))="Devis 2",IFERROR(VALUE(TRIM(SUBSTITUTE(Q61,CHAR(160),""))),0),TRIM(SUBSTITUTE(Y61,CHAR(160),""))="Devis 3",IFERROR(VALUE(TRIM(SUBSTITUTE(V61,CHAR(160),""))),0),TRUE,0)*IFERROR(VALUE(TRIM(SUBSTITUTE(C61,CHAR(160),""))),0))</f>
        <v/>
      </c>
      <c r="AA61" s="275" t="str" cm="1">
        <f t="array" ref="AA61">IF((_xlfn.IFS(TRIM(SUBSTITUTE(Y61,CHAR(160),""))="Devis 1",IFERROR(VALUE(TRIM(SUBSTITUTE(M61,CHAR(160),""))),0),TRIM(SUBSTITUTE(Y61,CHAR(160),""))="Devis 2",IFERROR(VALUE(TRIM(SUBSTITUTE(R61,CHAR(160),""))),0),TRIM(SUBSTITUTE(Y61,CHAR(160),""))="Devis 3",IFERROR(VALUE(TRIM(SUBSTITUTE(W61,CHAR(160),""))),0),TRUE,0)*IFERROR(VALUE(TRIM(SUBSTITUTE(C61,CHAR(160),""))),0))=0,IF(Z61&lt;&gt;"",0,""),_xlfn.IFS(TRIM(SUBSTITUTE(Y61,CHAR(160),""))="Devis 1",IFERROR(VALUE(TRIM(SUBSTITUTE(M61,CHAR(160),""))),0),TRIM(SUBSTITUTE(Y61,CHAR(160),""))="Devis 2",IFERROR(VALUE(TRIM(SUBSTITUTE(R61,CHAR(160),""))),0),TRIM(SUBSTITUTE(Y61,CHAR(160),""))="Devis 3",IFERROR(VALUE(TRIM(SUBSTITUTE(W61,CHAR(160),""))),0),TRUE,0)*IFERROR(VALUE(TRIM(SUBSTITUTE(C61,CHAR(160),""))),0))</f>
        <v/>
      </c>
      <c r="AB61" s="285" t="str">
        <f t="shared" si="24"/>
        <v/>
      </c>
      <c r="AC61" s="209"/>
      <c r="AD61" s="747" t="str">
        <f t="shared" si="51"/>
        <v/>
      </c>
      <c r="AE61" s="747" t="str">
        <f t="shared" si="52"/>
        <v/>
      </c>
      <c r="AF61" s="747" t="str">
        <f t="shared" si="53"/>
        <v/>
      </c>
      <c r="AG61" s="747" t="str">
        <f t="shared" si="54"/>
        <v/>
      </c>
      <c r="AH61" s="747" t="str">
        <f t="shared" si="55"/>
        <v/>
      </c>
      <c r="AI61" s="747" t="str">
        <f t="shared" si="25"/>
        <v/>
      </c>
      <c r="AJ61" s="747" t="str">
        <f t="shared" si="26"/>
        <v/>
      </c>
      <c r="AK61" s="776" t="str">
        <f t="shared" si="27"/>
        <v/>
      </c>
      <c r="AL61" s="802" t="str">
        <f t="shared" si="28"/>
        <v/>
      </c>
      <c r="AM61" s="747" t="str">
        <f t="shared" si="29"/>
        <v/>
      </c>
      <c r="AN61" s="771" t="str">
        <f t="shared" si="30"/>
        <v/>
      </c>
      <c r="AO61" s="771" t="str">
        <f t="shared" si="31"/>
        <v/>
      </c>
      <c r="AP61" s="808" t="str">
        <f t="shared" si="32"/>
        <v/>
      </c>
      <c r="AQ61" s="819" t="str">
        <f t="shared" si="33"/>
        <v/>
      </c>
      <c r="AR61" s="771" t="str">
        <f t="shared" si="34"/>
        <v/>
      </c>
      <c r="AS61" s="771" t="str">
        <f t="shared" si="35"/>
        <v/>
      </c>
      <c r="AT61" s="771" t="str">
        <f t="shared" si="36"/>
        <v/>
      </c>
      <c r="AU61" s="808" t="str">
        <f t="shared" si="37"/>
        <v/>
      </c>
      <c r="AV61" s="842" t="str">
        <f t="shared" si="38"/>
        <v/>
      </c>
      <c r="AW61" s="771" t="str">
        <f t="shared" si="39"/>
        <v/>
      </c>
      <c r="AX61" s="771" t="str">
        <f t="shared" si="40"/>
        <v/>
      </c>
      <c r="AY61" s="771" t="str">
        <f t="shared" si="41"/>
        <v/>
      </c>
      <c r="AZ61" s="831" t="str">
        <f t="shared" si="42"/>
        <v/>
      </c>
      <c r="BA61" s="835" t="str">
        <f t="shared" si="43"/>
        <v/>
      </c>
      <c r="BB61" s="772"/>
      <c r="BC61" s="275" t="str">
        <f t="shared" si="44"/>
        <v/>
      </c>
      <c r="BD61" s="275" t="str">
        <f t="shared" si="45"/>
        <v/>
      </c>
      <c r="BE61" s="886" t="str">
        <f t="shared" si="46"/>
        <v/>
      </c>
      <c r="BF61" s="873" t="str" cm="1">
        <f t="array" ref="BF61">IF($AE61="","",
_xlfn.IFS(
$BA61="Devis 1",
IF(ISBLANK(AN61),"",IFERROR(VALUE(TRIM(SUBSTITUTE(AN61,CHAR(160),""))),0)*IFERROR(VALUE(TRIM(SUBSTITUTE($AE61,CHAR(160),""))),0)),
$BA61="Devis 2",
IF(ISBLANK(AS61),"",IFERROR(VALUE(TRIM(SUBSTITUTE(AS61,CHAR(160),""))),0)*IFERROR(VALUE(TRIM(SUBSTITUTE($AE61,CHAR(160),""))),0)),
$BA61="Devis 3",
IF(ISBLANK(AX61),"",IFERROR(VALUE(TRIM(SUBSTITUTE(AX61,CHAR(160),""))),0)*IFERROR(VALUE(TRIM(SUBSTITUTE($AE61,CHAR(160),""))),0)),
TRUE,0
)
)</f>
        <v/>
      </c>
      <c r="BG61" s="873" t="str" cm="1">
        <f t="array" ref="BG61">IF($AE61="","",
_xlfn.IFS(
$BA61="Devis 1",
IF(ISBLANK(AO61),"",IFERROR(VALUE(TRIM(SUBSTITUTE(AO61,CHAR(160),""))),0)*IFERROR(VALUE(TRIM(SUBSTITUTE($AE61,CHAR(160),""))),0)),
$BA61="Devis 2",
IF(ISBLANK(AT61),"",IFERROR(VALUE(TRIM(SUBSTITUTE(AT61,CHAR(160),""))),0)*IFERROR(VALUE(TRIM(SUBSTITUTE($AE61,CHAR(160),""))),0)),
$BA61="Devis 3",
IF(ISBLANK(AY61),"",IFERROR(VALUE(TRIM(SUBSTITUTE(AY61,CHAR(160),""))),0)*IFERROR(VALUE(TRIM(SUBSTITUTE($AE61,CHAR(160),""))),0)),
TRUE,0
)
)</f>
        <v/>
      </c>
      <c r="BH61" s="874" t="str">
        <f t="shared" si="47"/>
        <v/>
      </c>
      <c r="BI61" s="866"/>
      <c r="BJ61" s="774" t="str" cm="1">
        <f t="array" ref="BJ61">IF(OR(BH61="",BE61="",BF61="",BC61="",BG61="",BD61=""),"",_xlfn.IFS(
ROUND(IFERROR(VALUE(TRIM(SUBSTITUTE(BH61,CHAR(160),""))),0),2)&gt;
ROUND(IFERROR(VALUE(TRIM(SUBSTITUTE(BE61,CHAR(160),""))),0),2),
"KO : Le montant retenu TTC est supérieur au montant raisonnable TTC. Merci de revoir la ligne de dépense ou plafonner son montant.",
ROUND(IFERROR(VALUE(TRIM(SUBSTITUTE(BF61,CHAR(160),""))),0),2)&gt;
ROUND(IFERROR(VALUE(TRIM(SUBSTITUTE(BC61,CHAR(160),""))),0),2),
"Attention : Le montant retenu HT est supérieur au montant HT raisonnable. Merci de revoir la ligne de dépense, plafonner son montant, ou justifier la reventillation HT / TVA.",
ROUND(IFERROR(VALUE(TRIM(SUBSTITUTE(BG61,CHAR(160),""))),0),2)&gt;
ROUND(IFERROR(VALUE(TRIM(SUBSTITUTE(BD61,CHAR(160),""))),0),2),
"Attention : Le montant TVA retenu est supérieur au montant TVA raisonnable. Merci de revoir la ligne de dépense, plafonner son montant, ou justifier la reventillation HT / TVA.",
ROUND(IFERROR(VALUE(TRIM(SUBSTITUTE(BH61,CHAR(160),""))),0),2)&gt;
ROUND(IFERROR(VALUE(TRIM(SUBSTITUTE(MIN(N61,S61,X61),CHAR(160),""))),0),2),
"Attention : Le devis retenu n'est pas le moins cher. Une justification de la part du porteur est nécessaire.",
ROUND(IFERROR(VALUE(TRIM(SUBSTITUTE(BH61,CHAR(160),""))),0),2)=0,
"Attention : montant présenté entièrement écarté",
ROUND(IFERROR(VALUE(TRIM(SUBSTITUTE(BE61,CHAR(160),""))),0),2)=
ROUND(IFERROR(VALUE(TRIM(SUBSTITUTE(BH61,CHAR(160),""))),0),2),
"OK",
ROUND(IFERROR(VALUE(TRIM(SUBSTITUTE(BE61,CHAR(160),""))),0),2)&gt;
ROUND(IFERROR(VALUE(TRIM(SUBSTITUTE(BH61,CHAR(160),""))),0),2),
" OK : Montant instruit inférieur au montant raisonnable.",
TRUE,""
))</f>
        <v/>
      </c>
      <c r="BK61" s="774" t="str" cm="1">
        <f t="array" ref="BK61">IF(OR(BH61="",AB61="",BF61="",Z61="",BG61="",AA61=""),"",_xlfn.IFS(
ROUND(IFERROR(VALUE(TRIM(SUBSTITUTE(BH61,CHAR(160),""))),0),2)&gt;
ROUND(IFERROR(VALUE(TRIM(SUBSTITUTE(AB61,CHAR(160),""))),0),2),
"KO : Le montant retenu TTC est supérieur au montant présenté TTC. Merci de revoir la ligne de dépense ou plafonner son montant.",
ROUND(IFERROR(VALUE(TRIM(SUBSTITUTE(BF61,CHAR(160),""))),0),2)&gt;
ROUND(IFERROR(VALUE(TRIM(SUBSTITUTE(Z61,CHAR(160),""))),0),2),
"Attention : Le montant retenu HT est supérieur au montant HT présenté. Merci de revoir la ligne de dépense, plafonner son montant, ou justifier la reventillation HT / TVA.",
ROUND(IFERROR(VALUE(TRIM(SUBSTITUTE(BG61,CHAR(160),""))),0),2)&gt;
ROUND(IFERROR(VALUE(TRIM(SUBSTITUTE(AA61,CHAR(160),""))),0),2),
"Attention : Le montant TVA retenu est supérieur au montant TVA présenté. Merci de revoir la ligne de dépense, plafonner son montant, ou justifier la reventillation HT / TVA.",
ROUND(IFERROR(VALUE(TRIM(SUBSTITUTE(AB61,CHAR(160),""))),0),2)=0,
"",
ROUND(IFERROR(VALUE(TRIM(SUBSTITUTE(BH61,CHAR(160),""))),0),2)=
ROUND(IFERROR(VALUE(TRIM(SUBSTITUTE(AB61,CHAR(160),""))),0),2),
"OK",
ROUND(IFERROR(VALUE(TRIM(SUBSTITUTE(BH61,CHAR(160),""))),0),2)=0,
"Attention : Montant présenté entièrement rejeté.",
ROUND(IFERROR(VALUE(TRIM(SUBSTITUTE(BH61,CHAR(160),""))),0),2)&lt;
ROUND(IFERROR(VALUE(TRIM(SUBSTITUTE(AB61,CHAR(160),""))),0),2),
"Attention : Montant présenté partiellement rejeté.",
TRUE,""
))</f>
        <v/>
      </c>
      <c r="BL61" s="773" t="str">
        <f t="shared" si="48"/>
        <v/>
      </c>
      <c r="BM61" s="773" t="str">
        <f t="shared" si="49"/>
        <v/>
      </c>
      <c r="BN61" s="773" t="str">
        <f t="shared" si="50"/>
        <v/>
      </c>
    </row>
    <row r="62" spans="1:66" ht="15" customHeight="1">
      <c r="A62" s="193">
        <v>58</v>
      </c>
      <c r="B62" s="7"/>
      <c r="C62" s="9"/>
      <c r="D62" s="30"/>
      <c r="E62" s="36"/>
      <c r="F62" s="34"/>
      <c r="G62" s="35"/>
      <c r="H62" s="685"/>
      <c r="I62" s="786"/>
      <c r="J62" s="792"/>
      <c r="K62" s="758"/>
      <c r="L62" s="761"/>
      <c r="M62" s="762"/>
      <c r="N62" s="808" t="str">
        <f t="shared" si="21"/>
        <v/>
      </c>
      <c r="O62" s="846"/>
      <c r="P62" s="847"/>
      <c r="Q62" s="762"/>
      <c r="R62" s="762"/>
      <c r="S62" s="808" t="str">
        <f t="shared" si="22"/>
        <v/>
      </c>
      <c r="T62" s="850"/>
      <c r="U62" s="847"/>
      <c r="V62" s="762"/>
      <c r="W62" s="762"/>
      <c r="X62" s="830" t="str">
        <f t="shared" si="23"/>
        <v/>
      </c>
      <c r="Y62" s="246"/>
      <c r="Z62" s="284" t="str" cm="1">
        <f t="array" ref="Z62">IF((_xlfn.IFS(TRIM(SUBSTITUTE(Y62,CHAR(160),""))="Devis 1",IFERROR(VALUE(TRIM(SUBSTITUTE(L62,CHAR(160),""))),0),TRIM(SUBSTITUTE(Y62,CHAR(160),""))="Devis 2",IFERROR(VALUE(TRIM(SUBSTITUTE(Q62,CHAR(160),""))),0),TRIM(SUBSTITUTE(Y62,CHAR(160),""))="Devis 3",IFERROR(VALUE(TRIM(SUBSTITUTE(V62,CHAR(160),""))),0),TRUE,0)*IFERROR(VALUE(TRIM(SUBSTITUTE(C62,CHAR(160),""))),0))=0,"",_xlfn.IFS(TRIM(SUBSTITUTE(Y62,CHAR(160),""))="Devis 1",IFERROR(VALUE(TRIM(SUBSTITUTE(L62,CHAR(160),""))),0),TRIM(SUBSTITUTE(Y62,CHAR(160),""))="Devis 2",IFERROR(VALUE(TRIM(SUBSTITUTE(Q62,CHAR(160),""))),0),TRIM(SUBSTITUTE(Y62,CHAR(160),""))="Devis 3",IFERROR(VALUE(TRIM(SUBSTITUTE(V62,CHAR(160),""))),0),TRUE,0)*IFERROR(VALUE(TRIM(SUBSTITUTE(C62,CHAR(160),""))),0))</f>
        <v/>
      </c>
      <c r="AA62" s="275" t="str" cm="1">
        <f t="array" ref="AA62">IF((_xlfn.IFS(TRIM(SUBSTITUTE(Y62,CHAR(160),""))="Devis 1",IFERROR(VALUE(TRIM(SUBSTITUTE(M62,CHAR(160),""))),0),TRIM(SUBSTITUTE(Y62,CHAR(160),""))="Devis 2",IFERROR(VALUE(TRIM(SUBSTITUTE(R62,CHAR(160),""))),0),TRIM(SUBSTITUTE(Y62,CHAR(160),""))="Devis 3",IFERROR(VALUE(TRIM(SUBSTITUTE(W62,CHAR(160),""))),0),TRUE,0)*IFERROR(VALUE(TRIM(SUBSTITUTE(C62,CHAR(160),""))),0))=0,IF(Z62&lt;&gt;"",0,""),_xlfn.IFS(TRIM(SUBSTITUTE(Y62,CHAR(160),""))="Devis 1",IFERROR(VALUE(TRIM(SUBSTITUTE(M62,CHAR(160),""))),0),TRIM(SUBSTITUTE(Y62,CHAR(160),""))="Devis 2",IFERROR(VALUE(TRIM(SUBSTITUTE(R62,CHAR(160),""))),0),TRIM(SUBSTITUTE(Y62,CHAR(160),""))="Devis 3",IFERROR(VALUE(TRIM(SUBSTITUTE(W62,CHAR(160),""))),0),TRUE,0)*IFERROR(VALUE(TRIM(SUBSTITUTE(C62,CHAR(160),""))),0))</f>
        <v/>
      </c>
      <c r="AB62" s="285" t="str">
        <f t="shared" si="24"/>
        <v/>
      </c>
      <c r="AC62" s="209"/>
      <c r="AD62" s="747" t="str">
        <f t="shared" si="51"/>
        <v/>
      </c>
      <c r="AE62" s="747" t="str">
        <f t="shared" si="52"/>
        <v/>
      </c>
      <c r="AF62" s="747" t="str">
        <f t="shared" si="53"/>
        <v/>
      </c>
      <c r="AG62" s="747" t="str">
        <f t="shared" si="54"/>
        <v/>
      </c>
      <c r="AH62" s="747" t="str">
        <f t="shared" si="55"/>
        <v/>
      </c>
      <c r="AI62" s="747" t="str">
        <f t="shared" si="25"/>
        <v/>
      </c>
      <c r="AJ62" s="747" t="str">
        <f t="shared" si="26"/>
        <v/>
      </c>
      <c r="AK62" s="776" t="str">
        <f t="shared" si="27"/>
        <v/>
      </c>
      <c r="AL62" s="802" t="str">
        <f t="shared" si="28"/>
        <v/>
      </c>
      <c r="AM62" s="747" t="str">
        <f t="shared" si="29"/>
        <v/>
      </c>
      <c r="AN62" s="771" t="str">
        <f t="shared" si="30"/>
        <v/>
      </c>
      <c r="AO62" s="771" t="str">
        <f t="shared" si="31"/>
        <v/>
      </c>
      <c r="AP62" s="808" t="str">
        <f t="shared" si="32"/>
        <v/>
      </c>
      <c r="AQ62" s="819" t="str">
        <f t="shared" si="33"/>
        <v/>
      </c>
      <c r="AR62" s="771" t="str">
        <f t="shared" si="34"/>
        <v/>
      </c>
      <c r="AS62" s="771" t="str">
        <f t="shared" si="35"/>
        <v/>
      </c>
      <c r="AT62" s="771" t="str">
        <f t="shared" si="36"/>
        <v/>
      </c>
      <c r="AU62" s="808" t="str">
        <f t="shared" si="37"/>
        <v/>
      </c>
      <c r="AV62" s="842" t="str">
        <f t="shared" si="38"/>
        <v/>
      </c>
      <c r="AW62" s="771" t="str">
        <f t="shared" si="39"/>
        <v/>
      </c>
      <c r="AX62" s="771" t="str">
        <f t="shared" si="40"/>
        <v/>
      </c>
      <c r="AY62" s="771" t="str">
        <f t="shared" si="41"/>
        <v/>
      </c>
      <c r="AZ62" s="831" t="str">
        <f t="shared" si="42"/>
        <v/>
      </c>
      <c r="BA62" s="835" t="str">
        <f t="shared" si="43"/>
        <v/>
      </c>
      <c r="BB62" s="772"/>
      <c r="BC62" s="275" t="str">
        <f t="shared" si="44"/>
        <v/>
      </c>
      <c r="BD62" s="275" t="str">
        <f t="shared" si="45"/>
        <v/>
      </c>
      <c r="BE62" s="886" t="str">
        <f t="shared" si="46"/>
        <v/>
      </c>
      <c r="BF62" s="873" t="str" cm="1">
        <f t="array" ref="BF62">IF($AE62="","",
_xlfn.IFS(
$BA62="Devis 1",
IF(ISBLANK(AN62),"",IFERROR(VALUE(TRIM(SUBSTITUTE(AN62,CHAR(160),""))),0)*IFERROR(VALUE(TRIM(SUBSTITUTE($AE62,CHAR(160),""))),0)),
$BA62="Devis 2",
IF(ISBLANK(AS62),"",IFERROR(VALUE(TRIM(SUBSTITUTE(AS62,CHAR(160),""))),0)*IFERROR(VALUE(TRIM(SUBSTITUTE($AE62,CHAR(160),""))),0)),
$BA62="Devis 3",
IF(ISBLANK(AX62),"",IFERROR(VALUE(TRIM(SUBSTITUTE(AX62,CHAR(160),""))),0)*IFERROR(VALUE(TRIM(SUBSTITUTE($AE62,CHAR(160),""))),0)),
TRUE,0
)
)</f>
        <v/>
      </c>
      <c r="BG62" s="873" t="str" cm="1">
        <f t="array" ref="BG62">IF($AE62="","",
_xlfn.IFS(
$BA62="Devis 1",
IF(ISBLANK(AO62),"",IFERROR(VALUE(TRIM(SUBSTITUTE(AO62,CHAR(160),""))),0)*IFERROR(VALUE(TRIM(SUBSTITUTE($AE62,CHAR(160),""))),0)),
$BA62="Devis 2",
IF(ISBLANK(AT62),"",IFERROR(VALUE(TRIM(SUBSTITUTE(AT62,CHAR(160),""))),0)*IFERROR(VALUE(TRIM(SUBSTITUTE($AE62,CHAR(160),""))),0)),
$BA62="Devis 3",
IF(ISBLANK(AY62),"",IFERROR(VALUE(TRIM(SUBSTITUTE(AY62,CHAR(160),""))),0)*IFERROR(VALUE(TRIM(SUBSTITUTE($AE62,CHAR(160),""))),0)),
TRUE,0
)
)</f>
        <v/>
      </c>
      <c r="BH62" s="874" t="str">
        <f t="shared" si="47"/>
        <v/>
      </c>
      <c r="BI62" s="866"/>
      <c r="BJ62" s="774" t="str" cm="1">
        <f t="array" ref="BJ62">IF(OR(BH62="",BE62="",BF62="",BC62="",BG62="",BD62=""),"",_xlfn.IFS(
ROUND(IFERROR(VALUE(TRIM(SUBSTITUTE(BH62,CHAR(160),""))),0),2)&gt;
ROUND(IFERROR(VALUE(TRIM(SUBSTITUTE(BE62,CHAR(160),""))),0),2),
"KO : Le montant retenu TTC est supérieur au montant raisonnable TTC. Merci de revoir la ligne de dépense ou plafonner son montant.",
ROUND(IFERROR(VALUE(TRIM(SUBSTITUTE(BF62,CHAR(160),""))),0),2)&gt;
ROUND(IFERROR(VALUE(TRIM(SUBSTITUTE(BC62,CHAR(160),""))),0),2),
"Attention : Le montant retenu HT est supérieur au montant HT raisonnable. Merci de revoir la ligne de dépense, plafonner son montant, ou justifier la reventillation HT / TVA.",
ROUND(IFERROR(VALUE(TRIM(SUBSTITUTE(BG62,CHAR(160),""))),0),2)&gt;
ROUND(IFERROR(VALUE(TRIM(SUBSTITUTE(BD62,CHAR(160),""))),0),2),
"Attention : Le montant TVA retenu est supérieur au montant TVA raisonnable. Merci de revoir la ligne de dépense, plafonner son montant, ou justifier la reventillation HT / TVA.",
ROUND(IFERROR(VALUE(TRIM(SUBSTITUTE(BH62,CHAR(160),""))),0),2)&gt;
ROUND(IFERROR(VALUE(TRIM(SUBSTITUTE(MIN(N62,S62,X62),CHAR(160),""))),0),2),
"Attention : Le devis retenu n'est pas le moins cher. Une justification de la part du porteur est nécessaire.",
ROUND(IFERROR(VALUE(TRIM(SUBSTITUTE(BH62,CHAR(160),""))),0),2)=0,
"Attention : montant présenté entièrement écarté",
ROUND(IFERROR(VALUE(TRIM(SUBSTITUTE(BE62,CHAR(160),""))),0),2)=
ROUND(IFERROR(VALUE(TRIM(SUBSTITUTE(BH62,CHAR(160),""))),0),2),
"OK",
ROUND(IFERROR(VALUE(TRIM(SUBSTITUTE(BE62,CHAR(160),""))),0),2)&gt;
ROUND(IFERROR(VALUE(TRIM(SUBSTITUTE(BH62,CHAR(160),""))),0),2),
" OK : Montant instruit inférieur au montant raisonnable.",
TRUE,""
))</f>
        <v/>
      </c>
      <c r="BK62" s="774" t="str" cm="1">
        <f t="array" ref="BK62">IF(OR(BH62="",AB62="",BF62="",Z62="",BG62="",AA62=""),"",_xlfn.IFS(
ROUND(IFERROR(VALUE(TRIM(SUBSTITUTE(BH62,CHAR(160),""))),0),2)&gt;
ROUND(IFERROR(VALUE(TRIM(SUBSTITUTE(AB62,CHAR(160),""))),0),2),
"KO : Le montant retenu TTC est supérieur au montant présenté TTC. Merci de revoir la ligne de dépense ou plafonner son montant.",
ROUND(IFERROR(VALUE(TRIM(SUBSTITUTE(BF62,CHAR(160),""))),0),2)&gt;
ROUND(IFERROR(VALUE(TRIM(SUBSTITUTE(Z62,CHAR(160),""))),0),2),
"Attention : Le montant retenu HT est supérieur au montant HT présenté. Merci de revoir la ligne de dépense, plafonner son montant, ou justifier la reventillation HT / TVA.",
ROUND(IFERROR(VALUE(TRIM(SUBSTITUTE(BG62,CHAR(160),""))),0),2)&gt;
ROUND(IFERROR(VALUE(TRIM(SUBSTITUTE(AA62,CHAR(160),""))),0),2),
"Attention : Le montant TVA retenu est supérieur au montant TVA présenté. Merci de revoir la ligne de dépense, plafonner son montant, ou justifier la reventillation HT / TVA.",
ROUND(IFERROR(VALUE(TRIM(SUBSTITUTE(AB62,CHAR(160),""))),0),2)=0,
"",
ROUND(IFERROR(VALUE(TRIM(SUBSTITUTE(BH62,CHAR(160),""))),0),2)=
ROUND(IFERROR(VALUE(TRIM(SUBSTITUTE(AB62,CHAR(160),""))),0),2),
"OK",
ROUND(IFERROR(VALUE(TRIM(SUBSTITUTE(BH62,CHAR(160),""))),0),2)=0,
"Attention : Montant présenté entièrement rejeté.",
ROUND(IFERROR(VALUE(TRIM(SUBSTITUTE(BH62,CHAR(160),""))),0),2)&lt;
ROUND(IFERROR(VALUE(TRIM(SUBSTITUTE(AB62,CHAR(160),""))),0),2),
"Attention : Montant présenté partiellement rejeté.",
TRUE,""
))</f>
        <v/>
      </c>
      <c r="BL62" s="773" t="str">
        <f t="shared" si="48"/>
        <v/>
      </c>
      <c r="BM62" s="773" t="str">
        <f t="shared" si="49"/>
        <v/>
      </c>
      <c r="BN62" s="773" t="str">
        <f t="shared" si="50"/>
        <v/>
      </c>
    </row>
    <row r="63" spans="1:66" ht="15" customHeight="1">
      <c r="A63" s="193">
        <v>59</v>
      </c>
      <c r="B63" s="7"/>
      <c r="C63" s="9"/>
      <c r="D63" s="30"/>
      <c r="E63" s="36"/>
      <c r="F63" s="34"/>
      <c r="G63" s="35"/>
      <c r="H63" s="685"/>
      <c r="I63" s="786"/>
      <c r="J63" s="792"/>
      <c r="K63" s="758"/>
      <c r="L63" s="761"/>
      <c r="M63" s="762"/>
      <c r="N63" s="808" t="str">
        <f t="shared" si="21"/>
        <v/>
      </c>
      <c r="O63" s="846"/>
      <c r="P63" s="847"/>
      <c r="Q63" s="762"/>
      <c r="R63" s="762"/>
      <c r="S63" s="808" t="str">
        <f t="shared" si="22"/>
        <v/>
      </c>
      <c r="T63" s="850"/>
      <c r="U63" s="847"/>
      <c r="V63" s="762"/>
      <c r="W63" s="762"/>
      <c r="X63" s="830" t="str">
        <f t="shared" si="23"/>
        <v/>
      </c>
      <c r="Y63" s="246"/>
      <c r="Z63" s="284" t="str" cm="1">
        <f t="array" ref="Z63">IF((_xlfn.IFS(TRIM(SUBSTITUTE(Y63,CHAR(160),""))="Devis 1",IFERROR(VALUE(TRIM(SUBSTITUTE(L63,CHAR(160),""))),0),TRIM(SUBSTITUTE(Y63,CHAR(160),""))="Devis 2",IFERROR(VALUE(TRIM(SUBSTITUTE(Q63,CHAR(160),""))),0),TRIM(SUBSTITUTE(Y63,CHAR(160),""))="Devis 3",IFERROR(VALUE(TRIM(SUBSTITUTE(V63,CHAR(160),""))),0),TRUE,0)*IFERROR(VALUE(TRIM(SUBSTITUTE(C63,CHAR(160),""))),0))=0,"",_xlfn.IFS(TRIM(SUBSTITUTE(Y63,CHAR(160),""))="Devis 1",IFERROR(VALUE(TRIM(SUBSTITUTE(L63,CHAR(160),""))),0),TRIM(SUBSTITUTE(Y63,CHAR(160),""))="Devis 2",IFERROR(VALUE(TRIM(SUBSTITUTE(Q63,CHAR(160),""))),0),TRIM(SUBSTITUTE(Y63,CHAR(160),""))="Devis 3",IFERROR(VALUE(TRIM(SUBSTITUTE(V63,CHAR(160),""))),0),TRUE,0)*IFERROR(VALUE(TRIM(SUBSTITUTE(C63,CHAR(160),""))),0))</f>
        <v/>
      </c>
      <c r="AA63" s="275" t="str" cm="1">
        <f t="array" ref="AA63">IF((_xlfn.IFS(TRIM(SUBSTITUTE(Y63,CHAR(160),""))="Devis 1",IFERROR(VALUE(TRIM(SUBSTITUTE(M63,CHAR(160),""))),0),TRIM(SUBSTITUTE(Y63,CHAR(160),""))="Devis 2",IFERROR(VALUE(TRIM(SUBSTITUTE(R63,CHAR(160),""))),0),TRIM(SUBSTITUTE(Y63,CHAR(160),""))="Devis 3",IFERROR(VALUE(TRIM(SUBSTITUTE(W63,CHAR(160),""))),0),TRUE,0)*IFERROR(VALUE(TRIM(SUBSTITUTE(C63,CHAR(160),""))),0))=0,IF(Z63&lt;&gt;"",0,""),_xlfn.IFS(TRIM(SUBSTITUTE(Y63,CHAR(160),""))="Devis 1",IFERROR(VALUE(TRIM(SUBSTITUTE(M63,CHAR(160),""))),0),TRIM(SUBSTITUTE(Y63,CHAR(160),""))="Devis 2",IFERROR(VALUE(TRIM(SUBSTITUTE(R63,CHAR(160),""))),0),TRIM(SUBSTITUTE(Y63,CHAR(160),""))="Devis 3",IFERROR(VALUE(TRIM(SUBSTITUTE(W63,CHAR(160),""))),0),TRUE,0)*IFERROR(VALUE(TRIM(SUBSTITUTE(C63,CHAR(160),""))),0))</f>
        <v/>
      </c>
      <c r="AB63" s="285" t="str">
        <f t="shared" si="24"/>
        <v/>
      </c>
      <c r="AC63" s="209"/>
      <c r="AD63" s="747" t="str">
        <f t="shared" si="51"/>
        <v/>
      </c>
      <c r="AE63" s="747" t="str">
        <f t="shared" si="52"/>
        <v/>
      </c>
      <c r="AF63" s="747" t="str">
        <f t="shared" si="53"/>
        <v/>
      </c>
      <c r="AG63" s="747" t="str">
        <f t="shared" si="54"/>
        <v/>
      </c>
      <c r="AH63" s="747" t="str">
        <f t="shared" si="55"/>
        <v/>
      </c>
      <c r="AI63" s="747" t="str">
        <f t="shared" si="25"/>
        <v/>
      </c>
      <c r="AJ63" s="747" t="str">
        <f t="shared" si="26"/>
        <v/>
      </c>
      <c r="AK63" s="776" t="str">
        <f t="shared" si="27"/>
        <v/>
      </c>
      <c r="AL63" s="802" t="str">
        <f t="shared" si="28"/>
        <v/>
      </c>
      <c r="AM63" s="747" t="str">
        <f t="shared" si="29"/>
        <v/>
      </c>
      <c r="AN63" s="771" t="str">
        <f t="shared" si="30"/>
        <v/>
      </c>
      <c r="AO63" s="771" t="str">
        <f t="shared" si="31"/>
        <v/>
      </c>
      <c r="AP63" s="808" t="str">
        <f t="shared" si="32"/>
        <v/>
      </c>
      <c r="AQ63" s="819" t="str">
        <f t="shared" si="33"/>
        <v/>
      </c>
      <c r="AR63" s="771" t="str">
        <f t="shared" si="34"/>
        <v/>
      </c>
      <c r="AS63" s="771" t="str">
        <f t="shared" si="35"/>
        <v/>
      </c>
      <c r="AT63" s="771" t="str">
        <f t="shared" si="36"/>
        <v/>
      </c>
      <c r="AU63" s="808" t="str">
        <f t="shared" si="37"/>
        <v/>
      </c>
      <c r="AV63" s="842" t="str">
        <f t="shared" si="38"/>
        <v/>
      </c>
      <c r="AW63" s="771" t="str">
        <f t="shared" si="39"/>
        <v/>
      </c>
      <c r="AX63" s="771" t="str">
        <f t="shared" si="40"/>
        <v/>
      </c>
      <c r="AY63" s="771" t="str">
        <f t="shared" si="41"/>
        <v/>
      </c>
      <c r="AZ63" s="831" t="str">
        <f t="shared" si="42"/>
        <v/>
      </c>
      <c r="BA63" s="835" t="str">
        <f t="shared" si="43"/>
        <v/>
      </c>
      <c r="BB63" s="772"/>
      <c r="BC63" s="275" t="str">
        <f t="shared" si="44"/>
        <v/>
      </c>
      <c r="BD63" s="275" t="str">
        <f t="shared" si="45"/>
        <v/>
      </c>
      <c r="BE63" s="886" t="str">
        <f t="shared" si="46"/>
        <v/>
      </c>
      <c r="BF63" s="873" t="str" cm="1">
        <f t="array" ref="BF63">IF($AE63="","",
_xlfn.IFS(
$BA63="Devis 1",
IF(ISBLANK(AN63),"",IFERROR(VALUE(TRIM(SUBSTITUTE(AN63,CHAR(160),""))),0)*IFERROR(VALUE(TRIM(SUBSTITUTE($AE63,CHAR(160),""))),0)),
$BA63="Devis 2",
IF(ISBLANK(AS63),"",IFERROR(VALUE(TRIM(SUBSTITUTE(AS63,CHAR(160),""))),0)*IFERROR(VALUE(TRIM(SUBSTITUTE($AE63,CHAR(160),""))),0)),
$BA63="Devis 3",
IF(ISBLANK(AX63),"",IFERROR(VALUE(TRIM(SUBSTITUTE(AX63,CHAR(160),""))),0)*IFERROR(VALUE(TRIM(SUBSTITUTE($AE63,CHAR(160),""))),0)),
TRUE,0
)
)</f>
        <v/>
      </c>
      <c r="BG63" s="873" t="str" cm="1">
        <f t="array" ref="BG63">IF($AE63="","",
_xlfn.IFS(
$BA63="Devis 1",
IF(ISBLANK(AO63),"",IFERROR(VALUE(TRIM(SUBSTITUTE(AO63,CHAR(160),""))),0)*IFERROR(VALUE(TRIM(SUBSTITUTE($AE63,CHAR(160),""))),0)),
$BA63="Devis 2",
IF(ISBLANK(AT63),"",IFERROR(VALUE(TRIM(SUBSTITUTE(AT63,CHAR(160),""))),0)*IFERROR(VALUE(TRIM(SUBSTITUTE($AE63,CHAR(160),""))),0)),
$BA63="Devis 3",
IF(ISBLANK(AY63),"",IFERROR(VALUE(TRIM(SUBSTITUTE(AY63,CHAR(160),""))),0)*IFERROR(VALUE(TRIM(SUBSTITUTE($AE63,CHAR(160),""))),0)),
TRUE,0
)
)</f>
        <v/>
      </c>
      <c r="BH63" s="874" t="str">
        <f t="shared" si="47"/>
        <v/>
      </c>
      <c r="BI63" s="866"/>
      <c r="BJ63" s="774" t="str" cm="1">
        <f t="array" ref="BJ63">IF(OR(BH63="",BE63="",BF63="",BC63="",BG63="",BD63=""),"",_xlfn.IFS(
ROUND(IFERROR(VALUE(TRIM(SUBSTITUTE(BH63,CHAR(160),""))),0),2)&gt;
ROUND(IFERROR(VALUE(TRIM(SUBSTITUTE(BE63,CHAR(160),""))),0),2),
"KO : Le montant retenu TTC est supérieur au montant raisonnable TTC. Merci de revoir la ligne de dépense ou plafonner son montant.",
ROUND(IFERROR(VALUE(TRIM(SUBSTITUTE(BF63,CHAR(160),""))),0),2)&gt;
ROUND(IFERROR(VALUE(TRIM(SUBSTITUTE(BC63,CHAR(160),""))),0),2),
"Attention : Le montant retenu HT est supérieur au montant HT raisonnable. Merci de revoir la ligne de dépense, plafonner son montant, ou justifier la reventillation HT / TVA.",
ROUND(IFERROR(VALUE(TRIM(SUBSTITUTE(BG63,CHAR(160),""))),0),2)&gt;
ROUND(IFERROR(VALUE(TRIM(SUBSTITUTE(BD63,CHAR(160),""))),0),2),
"Attention : Le montant TVA retenu est supérieur au montant TVA raisonnable. Merci de revoir la ligne de dépense, plafonner son montant, ou justifier la reventillation HT / TVA.",
ROUND(IFERROR(VALUE(TRIM(SUBSTITUTE(BH63,CHAR(160),""))),0),2)&gt;
ROUND(IFERROR(VALUE(TRIM(SUBSTITUTE(MIN(N63,S63,X63),CHAR(160),""))),0),2),
"Attention : Le devis retenu n'est pas le moins cher. Une justification de la part du porteur est nécessaire.",
ROUND(IFERROR(VALUE(TRIM(SUBSTITUTE(BH63,CHAR(160),""))),0),2)=0,
"Attention : montant présenté entièrement écarté",
ROUND(IFERROR(VALUE(TRIM(SUBSTITUTE(BE63,CHAR(160),""))),0),2)=
ROUND(IFERROR(VALUE(TRIM(SUBSTITUTE(BH63,CHAR(160),""))),0),2),
"OK",
ROUND(IFERROR(VALUE(TRIM(SUBSTITUTE(BE63,CHAR(160),""))),0),2)&gt;
ROUND(IFERROR(VALUE(TRIM(SUBSTITUTE(BH63,CHAR(160),""))),0),2),
" OK : Montant instruit inférieur au montant raisonnable.",
TRUE,""
))</f>
        <v/>
      </c>
      <c r="BK63" s="774" t="str" cm="1">
        <f t="array" ref="BK63">IF(OR(BH63="",AB63="",BF63="",Z63="",BG63="",AA63=""),"",_xlfn.IFS(
ROUND(IFERROR(VALUE(TRIM(SUBSTITUTE(BH63,CHAR(160),""))),0),2)&gt;
ROUND(IFERROR(VALUE(TRIM(SUBSTITUTE(AB63,CHAR(160),""))),0),2),
"KO : Le montant retenu TTC est supérieur au montant présenté TTC. Merci de revoir la ligne de dépense ou plafonner son montant.",
ROUND(IFERROR(VALUE(TRIM(SUBSTITUTE(BF63,CHAR(160),""))),0),2)&gt;
ROUND(IFERROR(VALUE(TRIM(SUBSTITUTE(Z63,CHAR(160),""))),0),2),
"Attention : Le montant retenu HT est supérieur au montant HT présenté. Merci de revoir la ligne de dépense, plafonner son montant, ou justifier la reventillation HT / TVA.",
ROUND(IFERROR(VALUE(TRIM(SUBSTITUTE(BG63,CHAR(160),""))),0),2)&gt;
ROUND(IFERROR(VALUE(TRIM(SUBSTITUTE(AA63,CHAR(160),""))),0),2),
"Attention : Le montant TVA retenu est supérieur au montant TVA présenté. Merci de revoir la ligne de dépense, plafonner son montant, ou justifier la reventillation HT / TVA.",
ROUND(IFERROR(VALUE(TRIM(SUBSTITUTE(AB63,CHAR(160),""))),0),2)=0,
"",
ROUND(IFERROR(VALUE(TRIM(SUBSTITUTE(BH63,CHAR(160),""))),0),2)=
ROUND(IFERROR(VALUE(TRIM(SUBSTITUTE(AB63,CHAR(160),""))),0),2),
"OK",
ROUND(IFERROR(VALUE(TRIM(SUBSTITUTE(BH63,CHAR(160),""))),0),2)=0,
"Attention : Montant présenté entièrement rejeté.",
ROUND(IFERROR(VALUE(TRIM(SUBSTITUTE(BH63,CHAR(160),""))),0),2)&lt;
ROUND(IFERROR(VALUE(TRIM(SUBSTITUTE(AB63,CHAR(160),""))),0),2),
"Attention : Montant présenté partiellement rejeté.",
TRUE,""
))</f>
        <v/>
      </c>
      <c r="BL63" s="773" t="str">
        <f t="shared" si="48"/>
        <v/>
      </c>
      <c r="BM63" s="773" t="str">
        <f t="shared" si="49"/>
        <v/>
      </c>
      <c r="BN63" s="773" t="str">
        <f t="shared" si="50"/>
        <v/>
      </c>
    </row>
    <row r="64" spans="1:66" ht="15" customHeight="1">
      <c r="A64" s="193">
        <v>60</v>
      </c>
      <c r="B64" s="7"/>
      <c r="C64" s="9"/>
      <c r="D64" s="30"/>
      <c r="E64" s="36"/>
      <c r="F64" s="34"/>
      <c r="G64" s="35"/>
      <c r="H64" s="685"/>
      <c r="I64" s="786"/>
      <c r="J64" s="792"/>
      <c r="K64" s="758"/>
      <c r="L64" s="761"/>
      <c r="M64" s="762"/>
      <c r="N64" s="808" t="str">
        <f t="shared" si="21"/>
        <v/>
      </c>
      <c r="O64" s="846"/>
      <c r="P64" s="847"/>
      <c r="Q64" s="762"/>
      <c r="R64" s="762"/>
      <c r="S64" s="808" t="str">
        <f t="shared" si="22"/>
        <v/>
      </c>
      <c r="T64" s="850"/>
      <c r="U64" s="847"/>
      <c r="V64" s="762"/>
      <c r="W64" s="762"/>
      <c r="X64" s="830" t="str">
        <f t="shared" si="23"/>
        <v/>
      </c>
      <c r="Y64" s="246"/>
      <c r="Z64" s="284" t="str" cm="1">
        <f t="array" ref="Z64">IF((_xlfn.IFS(TRIM(SUBSTITUTE(Y64,CHAR(160),""))="Devis 1",IFERROR(VALUE(TRIM(SUBSTITUTE(L64,CHAR(160),""))),0),TRIM(SUBSTITUTE(Y64,CHAR(160),""))="Devis 2",IFERROR(VALUE(TRIM(SUBSTITUTE(Q64,CHAR(160),""))),0),TRIM(SUBSTITUTE(Y64,CHAR(160),""))="Devis 3",IFERROR(VALUE(TRIM(SUBSTITUTE(V64,CHAR(160),""))),0),TRUE,0)*IFERROR(VALUE(TRIM(SUBSTITUTE(C64,CHAR(160),""))),0))=0,"",_xlfn.IFS(TRIM(SUBSTITUTE(Y64,CHAR(160),""))="Devis 1",IFERROR(VALUE(TRIM(SUBSTITUTE(L64,CHAR(160),""))),0),TRIM(SUBSTITUTE(Y64,CHAR(160),""))="Devis 2",IFERROR(VALUE(TRIM(SUBSTITUTE(Q64,CHAR(160),""))),0),TRIM(SUBSTITUTE(Y64,CHAR(160),""))="Devis 3",IFERROR(VALUE(TRIM(SUBSTITUTE(V64,CHAR(160),""))),0),TRUE,0)*IFERROR(VALUE(TRIM(SUBSTITUTE(C64,CHAR(160),""))),0))</f>
        <v/>
      </c>
      <c r="AA64" s="275" t="str" cm="1">
        <f t="array" ref="AA64">IF((_xlfn.IFS(TRIM(SUBSTITUTE(Y64,CHAR(160),""))="Devis 1",IFERROR(VALUE(TRIM(SUBSTITUTE(M64,CHAR(160),""))),0),TRIM(SUBSTITUTE(Y64,CHAR(160),""))="Devis 2",IFERROR(VALUE(TRIM(SUBSTITUTE(R64,CHAR(160),""))),0),TRIM(SUBSTITUTE(Y64,CHAR(160),""))="Devis 3",IFERROR(VALUE(TRIM(SUBSTITUTE(W64,CHAR(160),""))),0),TRUE,0)*IFERROR(VALUE(TRIM(SUBSTITUTE(C64,CHAR(160),""))),0))=0,IF(Z64&lt;&gt;"",0,""),_xlfn.IFS(TRIM(SUBSTITUTE(Y64,CHAR(160),""))="Devis 1",IFERROR(VALUE(TRIM(SUBSTITUTE(M64,CHAR(160),""))),0),TRIM(SUBSTITUTE(Y64,CHAR(160),""))="Devis 2",IFERROR(VALUE(TRIM(SUBSTITUTE(R64,CHAR(160),""))),0),TRIM(SUBSTITUTE(Y64,CHAR(160),""))="Devis 3",IFERROR(VALUE(TRIM(SUBSTITUTE(W64,CHAR(160),""))),0),TRUE,0)*IFERROR(VALUE(TRIM(SUBSTITUTE(C64,CHAR(160),""))),0))</f>
        <v/>
      </c>
      <c r="AB64" s="285" t="str">
        <f t="shared" si="24"/>
        <v/>
      </c>
      <c r="AC64" s="209"/>
      <c r="AD64" s="747" t="str">
        <f t="shared" si="51"/>
        <v/>
      </c>
      <c r="AE64" s="747" t="str">
        <f t="shared" si="52"/>
        <v/>
      </c>
      <c r="AF64" s="747" t="str">
        <f t="shared" si="53"/>
        <v/>
      </c>
      <c r="AG64" s="747" t="str">
        <f t="shared" si="54"/>
        <v/>
      </c>
      <c r="AH64" s="747" t="str">
        <f t="shared" si="55"/>
        <v/>
      </c>
      <c r="AI64" s="747" t="str">
        <f t="shared" si="25"/>
        <v/>
      </c>
      <c r="AJ64" s="747" t="str">
        <f t="shared" si="26"/>
        <v/>
      </c>
      <c r="AK64" s="776" t="str">
        <f t="shared" si="27"/>
        <v/>
      </c>
      <c r="AL64" s="802" t="str">
        <f t="shared" si="28"/>
        <v/>
      </c>
      <c r="AM64" s="747" t="str">
        <f t="shared" si="29"/>
        <v/>
      </c>
      <c r="AN64" s="771" t="str">
        <f t="shared" si="30"/>
        <v/>
      </c>
      <c r="AO64" s="771" t="str">
        <f t="shared" si="31"/>
        <v/>
      </c>
      <c r="AP64" s="808" t="str">
        <f t="shared" si="32"/>
        <v/>
      </c>
      <c r="AQ64" s="819" t="str">
        <f t="shared" si="33"/>
        <v/>
      </c>
      <c r="AR64" s="771" t="str">
        <f t="shared" si="34"/>
        <v/>
      </c>
      <c r="AS64" s="771" t="str">
        <f t="shared" si="35"/>
        <v/>
      </c>
      <c r="AT64" s="771" t="str">
        <f t="shared" si="36"/>
        <v/>
      </c>
      <c r="AU64" s="808" t="str">
        <f t="shared" si="37"/>
        <v/>
      </c>
      <c r="AV64" s="842" t="str">
        <f t="shared" si="38"/>
        <v/>
      </c>
      <c r="AW64" s="771" t="str">
        <f t="shared" si="39"/>
        <v/>
      </c>
      <c r="AX64" s="771" t="str">
        <f t="shared" si="40"/>
        <v/>
      </c>
      <c r="AY64" s="771" t="str">
        <f t="shared" si="41"/>
        <v/>
      </c>
      <c r="AZ64" s="831" t="str">
        <f t="shared" si="42"/>
        <v/>
      </c>
      <c r="BA64" s="835" t="str">
        <f t="shared" si="43"/>
        <v/>
      </c>
      <c r="BB64" s="772"/>
      <c r="BC64" s="275" t="str">
        <f t="shared" si="44"/>
        <v/>
      </c>
      <c r="BD64" s="275" t="str">
        <f t="shared" si="45"/>
        <v/>
      </c>
      <c r="BE64" s="886" t="str">
        <f t="shared" si="46"/>
        <v/>
      </c>
      <c r="BF64" s="873" t="str" cm="1">
        <f t="array" ref="BF64">IF($AE64="","",
_xlfn.IFS(
$BA64="Devis 1",
IF(ISBLANK(AN64),"",IFERROR(VALUE(TRIM(SUBSTITUTE(AN64,CHAR(160),""))),0)*IFERROR(VALUE(TRIM(SUBSTITUTE($AE64,CHAR(160),""))),0)),
$BA64="Devis 2",
IF(ISBLANK(AS64),"",IFERROR(VALUE(TRIM(SUBSTITUTE(AS64,CHAR(160),""))),0)*IFERROR(VALUE(TRIM(SUBSTITUTE($AE64,CHAR(160),""))),0)),
$BA64="Devis 3",
IF(ISBLANK(AX64),"",IFERROR(VALUE(TRIM(SUBSTITUTE(AX64,CHAR(160),""))),0)*IFERROR(VALUE(TRIM(SUBSTITUTE($AE64,CHAR(160),""))),0)),
TRUE,0
)
)</f>
        <v/>
      </c>
      <c r="BG64" s="873" t="str" cm="1">
        <f t="array" ref="BG64">IF($AE64="","",
_xlfn.IFS(
$BA64="Devis 1",
IF(ISBLANK(AO64),"",IFERROR(VALUE(TRIM(SUBSTITUTE(AO64,CHAR(160),""))),0)*IFERROR(VALUE(TRIM(SUBSTITUTE($AE64,CHAR(160),""))),0)),
$BA64="Devis 2",
IF(ISBLANK(AT64),"",IFERROR(VALUE(TRIM(SUBSTITUTE(AT64,CHAR(160),""))),0)*IFERROR(VALUE(TRIM(SUBSTITUTE($AE64,CHAR(160),""))),0)),
$BA64="Devis 3",
IF(ISBLANK(AY64),"",IFERROR(VALUE(TRIM(SUBSTITUTE(AY64,CHAR(160),""))),0)*IFERROR(VALUE(TRIM(SUBSTITUTE($AE64,CHAR(160),""))),0)),
TRUE,0
)
)</f>
        <v/>
      </c>
      <c r="BH64" s="874" t="str">
        <f t="shared" si="47"/>
        <v/>
      </c>
      <c r="BI64" s="866"/>
      <c r="BJ64" s="774" t="str" cm="1">
        <f t="array" ref="BJ64">IF(OR(BH64="",BE64="",BF64="",BC64="",BG64="",BD64=""),"",_xlfn.IFS(
ROUND(IFERROR(VALUE(TRIM(SUBSTITUTE(BH64,CHAR(160),""))),0),2)&gt;
ROUND(IFERROR(VALUE(TRIM(SUBSTITUTE(BE64,CHAR(160),""))),0),2),
"KO : Le montant retenu TTC est supérieur au montant raisonnable TTC. Merci de revoir la ligne de dépense ou plafonner son montant.",
ROUND(IFERROR(VALUE(TRIM(SUBSTITUTE(BF64,CHAR(160),""))),0),2)&gt;
ROUND(IFERROR(VALUE(TRIM(SUBSTITUTE(BC64,CHAR(160),""))),0),2),
"Attention : Le montant retenu HT est supérieur au montant HT raisonnable. Merci de revoir la ligne de dépense, plafonner son montant, ou justifier la reventillation HT / TVA.",
ROUND(IFERROR(VALUE(TRIM(SUBSTITUTE(BG64,CHAR(160),""))),0),2)&gt;
ROUND(IFERROR(VALUE(TRIM(SUBSTITUTE(BD64,CHAR(160),""))),0),2),
"Attention : Le montant TVA retenu est supérieur au montant TVA raisonnable. Merci de revoir la ligne de dépense, plafonner son montant, ou justifier la reventillation HT / TVA.",
ROUND(IFERROR(VALUE(TRIM(SUBSTITUTE(BH64,CHAR(160),""))),0),2)&gt;
ROUND(IFERROR(VALUE(TRIM(SUBSTITUTE(MIN(N64,S64,X64),CHAR(160),""))),0),2),
"Attention : Le devis retenu n'est pas le moins cher. Une justification de la part du porteur est nécessaire.",
ROUND(IFERROR(VALUE(TRIM(SUBSTITUTE(BH64,CHAR(160),""))),0),2)=0,
"Attention : montant présenté entièrement écarté",
ROUND(IFERROR(VALUE(TRIM(SUBSTITUTE(BE64,CHAR(160),""))),0),2)=
ROUND(IFERROR(VALUE(TRIM(SUBSTITUTE(BH64,CHAR(160),""))),0),2),
"OK",
ROUND(IFERROR(VALUE(TRIM(SUBSTITUTE(BE64,CHAR(160),""))),0),2)&gt;
ROUND(IFERROR(VALUE(TRIM(SUBSTITUTE(BH64,CHAR(160),""))),0),2),
" OK : Montant instruit inférieur au montant raisonnable.",
TRUE,""
))</f>
        <v/>
      </c>
      <c r="BK64" s="774" t="str" cm="1">
        <f t="array" ref="BK64">IF(OR(BH64="",AB64="",BF64="",Z64="",BG64="",AA64=""),"",_xlfn.IFS(
ROUND(IFERROR(VALUE(TRIM(SUBSTITUTE(BH64,CHAR(160),""))),0),2)&gt;
ROUND(IFERROR(VALUE(TRIM(SUBSTITUTE(AB64,CHAR(160),""))),0),2),
"KO : Le montant retenu TTC est supérieur au montant présenté TTC. Merci de revoir la ligne de dépense ou plafonner son montant.",
ROUND(IFERROR(VALUE(TRIM(SUBSTITUTE(BF64,CHAR(160),""))),0),2)&gt;
ROUND(IFERROR(VALUE(TRIM(SUBSTITUTE(Z64,CHAR(160),""))),0),2),
"Attention : Le montant retenu HT est supérieur au montant HT présenté. Merci de revoir la ligne de dépense, plafonner son montant, ou justifier la reventillation HT / TVA.",
ROUND(IFERROR(VALUE(TRIM(SUBSTITUTE(BG64,CHAR(160),""))),0),2)&gt;
ROUND(IFERROR(VALUE(TRIM(SUBSTITUTE(AA64,CHAR(160),""))),0),2),
"Attention : Le montant TVA retenu est supérieur au montant TVA présenté. Merci de revoir la ligne de dépense, plafonner son montant, ou justifier la reventillation HT / TVA.",
ROUND(IFERROR(VALUE(TRIM(SUBSTITUTE(AB64,CHAR(160),""))),0),2)=0,
"",
ROUND(IFERROR(VALUE(TRIM(SUBSTITUTE(BH64,CHAR(160),""))),0),2)=
ROUND(IFERROR(VALUE(TRIM(SUBSTITUTE(AB64,CHAR(160),""))),0),2),
"OK",
ROUND(IFERROR(VALUE(TRIM(SUBSTITUTE(BH64,CHAR(160),""))),0),2)=0,
"Attention : Montant présenté entièrement rejeté.",
ROUND(IFERROR(VALUE(TRIM(SUBSTITUTE(BH64,CHAR(160),""))),0),2)&lt;
ROUND(IFERROR(VALUE(TRIM(SUBSTITUTE(AB64,CHAR(160),""))),0),2),
"Attention : Montant présenté partiellement rejeté.",
TRUE,""
))</f>
        <v/>
      </c>
      <c r="BL64" s="773" t="str">
        <f t="shared" si="48"/>
        <v/>
      </c>
      <c r="BM64" s="773" t="str">
        <f t="shared" si="49"/>
        <v/>
      </c>
      <c r="BN64" s="773" t="str">
        <f t="shared" si="50"/>
        <v/>
      </c>
    </row>
    <row r="65" spans="1:66" ht="15" customHeight="1">
      <c r="A65" s="193">
        <v>61</v>
      </c>
      <c r="B65" s="7"/>
      <c r="C65" s="9"/>
      <c r="D65" s="30"/>
      <c r="E65" s="36"/>
      <c r="F65" s="34"/>
      <c r="G65" s="35"/>
      <c r="H65" s="685"/>
      <c r="I65" s="786"/>
      <c r="J65" s="792"/>
      <c r="K65" s="758"/>
      <c r="L65" s="761"/>
      <c r="M65" s="762"/>
      <c r="N65" s="808" t="str">
        <f t="shared" si="21"/>
        <v/>
      </c>
      <c r="O65" s="846"/>
      <c r="P65" s="847"/>
      <c r="Q65" s="762"/>
      <c r="R65" s="762"/>
      <c r="S65" s="808" t="str">
        <f t="shared" si="22"/>
        <v/>
      </c>
      <c r="T65" s="850"/>
      <c r="U65" s="847"/>
      <c r="V65" s="762"/>
      <c r="W65" s="762"/>
      <c r="X65" s="830" t="str">
        <f t="shared" si="23"/>
        <v/>
      </c>
      <c r="Y65" s="246"/>
      <c r="Z65" s="284" t="str" cm="1">
        <f t="array" ref="Z65">IF((_xlfn.IFS(TRIM(SUBSTITUTE(Y65,CHAR(160),""))="Devis 1",IFERROR(VALUE(TRIM(SUBSTITUTE(L65,CHAR(160),""))),0),TRIM(SUBSTITUTE(Y65,CHAR(160),""))="Devis 2",IFERROR(VALUE(TRIM(SUBSTITUTE(Q65,CHAR(160),""))),0),TRIM(SUBSTITUTE(Y65,CHAR(160),""))="Devis 3",IFERROR(VALUE(TRIM(SUBSTITUTE(V65,CHAR(160),""))),0),TRUE,0)*IFERROR(VALUE(TRIM(SUBSTITUTE(C65,CHAR(160),""))),0))=0,"",_xlfn.IFS(TRIM(SUBSTITUTE(Y65,CHAR(160),""))="Devis 1",IFERROR(VALUE(TRIM(SUBSTITUTE(L65,CHAR(160),""))),0),TRIM(SUBSTITUTE(Y65,CHAR(160),""))="Devis 2",IFERROR(VALUE(TRIM(SUBSTITUTE(Q65,CHAR(160),""))),0),TRIM(SUBSTITUTE(Y65,CHAR(160),""))="Devis 3",IFERROR(VALUE(TRIM(SUBSTITUTE(V65,CHAR(160),""))),0),TRUE,0)*IFERROR(VALUE(TRIM(SUBSTITUTE(C65,CHAR(160),""))),0))</f>
        <v/>
      </c>
      <c r="AA65" s="275" t="str" cm="1">
        <f t="array" ref="AA65">IF((_xlfn.IFS(TRIM(SUBSTITUTE(Y65,CHAR(160),""))="Devis 1",IFERROR(VALUE(TRIM(SUBSTITUTE(M65,CHAR(160),""))),0),TRIM(SUBSTITUTE(Y65,CHAR(160),""))="Devis 2",IFERROR(VALUE(TRIM(SUBSTITUTE(R65,CHAR(160),""))),0),TRIM(SUBSTITUTE(Y65,CHAR(160),""))="Devis 3",IFERROR(VALUE(TRIM(SUBSTITUTE(W65,CHAR(160),""))),0),TRUE,0)*IFERROR(VALUE(TRIM(SUBSTITUTE(C65,CHAR(160),""))),0))=0,IF(Z65&lt;&gt;"",0,""),_xlfn.IFS(TRIM(SUBSTITUTE(Y65,CHAR(160),""))="Devis 1",IFERROR(VALUE(TRIM(SUBSTITUTE(M65,CHAR(160),""))),0),TRIM(SUBSTITUTE(Y65,CHAR(160),""))="Devis 2",IFERROR(VALUE(TRIM(SUBSTITUTE(R65,CHAR(160),""))),0),TRIM(SUBSTITUTE(Y65,CHAR(160),""))="Devis 3",IFERROR(VALUE(TRIM(SUBSTITUTE(W65,CHAR(160),""))),0),TRUE,0)*IFERROR(VALUE(TRIM(SUBSTITUTE(C65,CHAR(160),""))),0))</f>
        <v/>
      </c>
      <c r="AB65" s="285" t="str">
        <f t="shared" si="24"/>
        <v/>
      </c>
      <c r="AC65" s="209"/>
      <c r="AD65" s="747" t="str">
        <f t="shared" si="51"/>
        <v/>
      </c>
      <c r="AE65" s="747" t="str">
        <f t="shared" si="52"/>
        <v/>
      </c>
      <c r="AF65" s="747" t="str">
        <f t="shared" si="53"/>
        <v/>
      </c>
      <c r="AG65" s="747" t="str">
        <f t="shared" si="54"/>
        <v/>
      </c>
      <c r="AH65" s="747" t="str">
        <f t="shared" si="55"/>
        <v/>
      </c>
      <c r="AI65" s="747" t="str">
        <f t="shared" si="25"/>
        <v/>
      </c>
      <c r="AJ65" s="747" t="str">
        <f t="shared" si="26"/>
        <v/>
      </c>
      <c r="AK65" s="776" t="str">
        <f t="shared" si="27"/>
        <v/>
      </c>
      <c r="AL65" s="802" t="str">
        <f t="shared" si="28"/>
        <v/>
      </c>
      <c r="AM65" s="747" t="str">
        <f t="shared" si="29"/>
        <v/>
      </c>
      <c r="AN65" s="771" t="str">
        <f t="shared" si="30"/>
        <v/>
      </c>
      <c r="AO65" s="771" t="str">
        <f t="shared" si="31"/>
        <v/>
      </c>
      <c r="AP65" s="808" t="str">
        <f t="shared" si="32"/>
        <v/>
      </c>
      <c r="AQ65" s="819" t="str">
        <f t="shared" si="33"/>
        <v/>
      </c>
      <c r="AR65" s="771" t="str">
        <f t="shared" si="34"/>
        <v/>
      </c>
      <c r="AS65" s="771" t="str">
        <f t="shared" si="35"/>
        <v/>
      </c>
      <c r="AT65" s="771" t="str">
        <f t="shared" si="36"/>
        <v/>
      </c>
      <c r="AU65" s="808" t="str">
        <f t="shared" si="37"/>
        <v/>
      </c>
      <c r="AV65" s="842" t="str">
        <f t="shared" si="38"/>
        <v/>
      </c>
      <c r="AW65" s="771" t="str">
        <f t="shared" si="39"/>
        <v/>
      </c>
      <c r="AX65" s="771" t="str">
        <f t="shared" si="40"/>
        <v/>
      </c>
      <c r="AY65" s="771" t="str">
        <f t="shared" si="41"/>
        <v/>
      </c>
      <c r="AZ65" s="831" t="str">
        <f t="shared" si="42"/>
        <v/>
      </c>
      <c r="BA65" s="835" t="str">
        <f t="shared" si="43"/>
        <v/>
      </c>
      <c r="BB65" s="772"/>
      <c r="BC65" s="275" t="str">
        <f t="shared" si="44"/>
        <v/>
      </c>
      <c r="BD65" s="275" t="str">
        <f t="shared" si="45"/>
        <v/>
      </c>
      <c r="BE65" s="886" t="str">
        <f t="shared" si="46"/>
        <v/>
      </c>
      <c r="BF65" s="873" t="str" cm="1">
        <f t="array" ref="BF65">IF($AE65="","",
_xlfn.IFS(
$BA65="Devis 1",
IF(ISBLANK(AN65),"",IFERROR(VALUE(TRIM(SUBSTITUTE(AN65,CHAR(160),""))),0)*IFERROR(VALUE(TRIM(SUBSTITUTE($AE65,CHAR(160),""))),0)),
$BA65="Devis 2",
IF(ISBLANK(AS65),"",IFERROR(VALUE(TRIM(SUBSTITUTE(AS65,CHAR(160),""))),0)*IFERROR(VALUE(TRIM(SUBSTITUTE($AE65,CHAR(160),""))),0)),
$BA65="Devis 3",
IF(ISBLANK(AX65),"",IFERROR(VALUE(TRIM(SUBSTITUTE(AX65,CHAR(160),""))),0)*IFERROR(VALUE(TRIM(SUBSTITUTE($AE65,CHAR(160),""))),0)),
TRUE,0
)
)</f>
        <v/>
      </c>
      <c r="BG65" s="873" t="str" cm="1">
        <f t="array" ref="BG65">IF($AE65="","",
_xlfn.IFS(
$BA65="Devis 1",
IF(ISBLANK(AO65),"",IFERROR(VALUE(TRIM(SUBSTITUTE(AO65,CHAR(160),""))),0)*IFERROR(VALUE(TRIM(SUBSTITUTE($AE65,CHAR(160),""))),0)),
$BA65="Devis 2",
IF(ISBLANK(AT65),"",IFERROR(VALUE(TRIM(SUBSTITUTE(AT65,CHAR(160),""))),0)*IFERROR(VALUE(TRIM(SUBSTITUTE($AE65,CHAR(160),""))),0)),
$BA65="Devis 3",
IF(ISBLANK(AY65),"",IFERROR(VALUE(TRIM(SUBSTITUTE(AY65,CHAR(160),""))),0)*IFERROR(VALUE(TRIM(SUBSTITUTE($AE65,CHAR(160),""))),0)),
TRUE,0
)
)</f>
        <v/>
      </c>
      <c r="BH65" s="874" t="str">
        <f t="shared" si="47"/>
        <v/>
      </c>
      <c r="BI65" s="866"/>
      <c r="BJ65" s="774" t="str" cm="1">
        <f t="array" ref="BJ65">IF(OR(BH65="",BE65="",BF65="",BC65="",BG65="",BD65=""),"",_xlfn.IFS(
ROUND(IFERROR(VALUE(TRIM(SUBSTITUTE(BH65,CHAR(160),""))),0),2)&gt;
ROUND(IFERROR(VALUE(TRIM(SUBSTITUTE(BE65,CHAR(160),""))),0),2),
"KO : Le montant retenu TTC est supérieur au montant raisonnable TTC. Merci de revoir la ligne de dépense ou plafonner son montant.",
ROUND(IFERROR(VALUE(TRIM(SUBSTITUTE(BF65,CHAR(160),""))),0),2)&gt;
ROUND(IFERROR(VALUE(TRIM(SUBSTITUTE(BC65,CHAR(160),""))),0),2),
"Attention : Le montant retenu HT est supérieur au montant HT raisonnable. Merci de revoir la ligne de dépense, plafonner son montant, ou justifier la reventillation HT / TVA.",
ROUND(IFERROR(VALUE(TRIM(SUBSTITUTE(BG65,CHAR(160),""))),0),2)&gt;
ROUND(IFERROR(VALUE(TRIM(SUBSTITUTE(BD65,CHAR(160),""))),0),2),
"Attention : Le montant TVA retenu est supérieur au montant TVA raisonnable. Merci de revoir la ligne de dépense, plafonner son montant, ou justifier la reventillation HT / TVA.",
ROUND(IFERROR(VALUE(TRIM(SUBSTITUTE(BH65,CHAR(160),""))),0),2)&gt;
ROUND(IFERROR(VALUE(TRIM(SUBSTITUTE(MIN(N65,S65,X65),CHAR(160),""))),0),2),
"Attention : Le devis retenu n'est pas le moins cher. Une justification de la part du porteur est nécessaire.",
ROUND(IFERROR(VALUE(TRIM(SUBSTITUTE(BH65,CHAR(160),""))),0),2)=0,
"Attention : montant présenté entièrement écarté",
ROUND(IFERROR(VALUE(TRIM(SUBSTITUTE(BE65,CHAR(160),""))),0),2)=
ROUND(IFERROR(VALUE(TRIM(SUBSTITUTE(BH65,CHAR(160),""))),0),2),
"OK",
ROUND(IFERROR(VALUE(TRIM(SUBSTITUTE(BE65,CHAR(160),""))),0),2)&gt;
ROUND(IFERROR(VALUE(TRIM(SUBSTITUTE(BH65,CHAR(160),""))),0),2),
" OK : Montant instruit inférieur au montant raisonnable.",
TRUE,""
))</f>
        <v/>
      </c>
      <c r="BK65" s="774" t="str" cm="1">
        <f t="array" ref="BK65">IF(OR(BH65="",AB65="",BF65="",Z65="",BG65="",AA65=""),"",_xlfn.IFS(
ROUND(IFERROR(VALUE(TRIM(SUBSTITUTE(BH65,CHAR(160),""))),0),2)&gt;
ROUND(IFERROR(VALUE(TRIM(SUBSTITUTE(AB65,CHAR(160),""))),0),2),
"KO : Le montant retenu TTC est supérieur au montant présenté TTC. Merci de revoir la ligne de dépense ou plafonner son montant.",
ROUND(IFERROR(VALUE(TRIM(SUBSTITUTE(BF65,CHAR(160),""))),0),2)&gt;
ROUND(IFERROR(VALUE(TRIM(SUBSTITUTE(Z65,CHAR(160),""))),0),2),
"Attention : Le montant retenu HT est supérieur au montant HT présenté. Merci de revoir la ligne de dépense, plafonner son montant, ou justifier la reventillation HT / TVA.",
ROUND(IFERROR(VALUE(TRIM(SUBSTITUTE(BG65,CHAR(160),""))),0),2)&gt;
ROUND(IFERROR(VALUE(TRIM(SUBSTITUTE(AA65,CHAR(160),""))),0),2),
"Attention : Le montant TVA retenu est supérieur au montant TVA présenté. Merci de revoir la ligne de dépense, plafonner son montant, ou justifier la reventillation HT / TVA.",
ROUND(IFERROR(VALUE(TRIM(SUBSTITUTE(AB65,CHAR(160),""))),0),2)=0,
"",
ROUND(IFERROR(VALUE(TRIM(SUBSTITUTE(BH65,CHAR(160),""))),0),2)=
ROUND(IFERROR(VALUE(TRIM(SUBSTITUTE(AB65,CHAR(160),""))),0),2),
"OK",
ROUND(IFERROR(VALUE(TRIM(SUBSTITUTE(BH65,CHAR(160),""))),0),2)=0,
"Attention : Montant présenté entièrement rejeté.",
ROUND(IFERROR(VALUE(TRIM(SUBSTITUTE(BH65,CHAR(160),""))),0),2)&lt;
ROUND(IFERROR(VALUE(TRIM(SUBSTITUTE(AB65,CHAR(160),""))),0),2),
"Attention : Montant présenté partiellement rejeté.",
TRUE,""
))</f>
        <v/>
      </c>
      <c r="BL65" s="773" t="str">
        <f t="shared" si="48"/>
        <v/>
      </c>
      <c r="BM65" s="773" t="str">
        <f t="shared" si="49"/>
        <v/>
      </c>
      <c r="BN65" s="773" t="str">
        <f t="shared" si="50"/>
        <v/>
      </c>
    </row>
    <row r="66" spans="1:66" ht="15" customHeight="1">
      <c r="A66" s="193">
        <v>62</v>
      </c>
      <c r="B66" s="7"/>
      <c r="C66" s="9"/>
      <c r="D66" s="30"/>
      <c r="E66" s="36"/>
      <c r="F66" s="34"/>
      <c r="G66" s="35"/>
      <c r="H66" s="685"/>
      <c r="I66" s="786"/>
      <c r="J66" s="792"/>
      <c r="K66" s="758"/>
      <c r="L66" s="761"/>
      <c r="M66" s="762"/>
      <c r="N66" s="808" t="str">
        <f t="shared" si="21"/>
        <v/>
      </c>
      <c r="O66" s="846"/>
      <c r="P66" s="847"/>
      <c r="Q66" s="762"/>
      <c r="R66" s="762"/>
      <c r="S66" s="808" t="str">
        <f t="shared" si="22"/>
        <v/>
      </c>
      <c r="T66" s="850"/>
      <c r="U66" s="847"/>
      <c r="V66" s="762"/>
      <c r="W66" s="762"/>
      <c r="X66" s="830" t="str">
        <f t="shared" si="23"/>
        <v/>
      </c>
      <c r="Y66" s="246"/>
      <c r="Z66" s="284" t="str" cm="1">
        <f t="array" ref="Z66">IF((_xlfn.IFS(TRIM(SUBSTITUTE(Y66,CHAR(160),""))="Devis 1",IFERROR(VALUE(TRIM(SUBSTITUTE(L66,CHAR(160),""))),0),TRIM(SUBSTITUTE(Y66,CHAR(160),""))="Devis 2",IFERROR(VALUE(TRIM(SUBSTITUTE(Q66,CHAR(160),""))),0),TRIM(SUBSTITUTE(Y66,CHAR(160),""))="Devis 3",IFERROR(VALUE(TRIM(SUBSTITUTE(V66,CHAR(160),""))),0),TRUE,0)*IFERROR(VALUE(TRIM(SUBSTITUTE(C66,CHAR(160),""))),0))=0,"",_xlfn.IFS(TRIM(SUBSTITUTE(Y66,CHAR(160),""))="Devis 1",IFERROR(VALUE(TRIM(SUBSTITUTE(L66,CHAR(160),""))),0),TRIM(SUBSTITUTE(Y66,CHAR(160),""))="Devis 2",IFERROR(VALUE(TRIM(SUBSTITUTE(Q66,CHAR(160),""))),0),TRIM(SUBSTITUTE(Y66,CHAR(160),""))="Devis 3",IFERROR(VALUE(TRIM(SUBSTITUTE(V66,CHAR(160),""))),0),TRUE,0)*IFERROR(VALUE(TRIM(SUBSTITUTE(C66,CHAR(160),""))),0))</f>
        <v/>
      </c>
      <c r="AA66" s="275" t="str" cm="1">
        <f t="array" ref="AA66">IF((_xlfn.IFS(TRIM(SUBSTITUTE(Y66,CHAR(160),""))="Devis 1",IFERROR(VALUE(TRIM(SUBSTITUTE(M66,CHAR(160),""))),0),TRIM(SUBSTITUTE(Y66,CHAR(160),""))="Devis 2",IFERROR(VALUE(TRIM(SUBSTITUTE(R66,CHAR(160),""))),0),TRIM(SUBSTITUTE(Y66,CHAR(160),""))="Devis 3",IFERROR(VALUE(TRIM(SUBSTITUTE(W66,CHAR(160),""))),0),TRUE,0)*IFERROR(VALUE(TRIM(SUBSTITUTE(C66,CHAR(160),""))),0))=0,IF(Z66&lt;&gt;"",0,""),_xlfn.IFS(TRIM(SUBSTITUTE(Y66,CHAR(160),""))="Devis 1",IFERROR(VALUE(TRIM(SUBSTITUTE(M66,CHAR(160),""))),0),TRIM(SUBSTITUTE(Y66,CHAR(160),""))="Devis 2",IFERROR(VALUE(TRIM(SUBSTITUTE(R66,CHAR(160),""))),0),TRIM(SUBSTITUTE(Y66,CHAR(160),""))="Devis 3",IFERROR(VALUE(TRIM(SUBSTITUTE(W66,CHAR(160),""))),0),TRUE,0)*IFERROR(VALUE(TRIM(SUBSTITUTE(C66,CHAR(160),""))),0))</f>
        <v/>
      </c>
      <c r="AB66" s="285" t="str">
        <f t="shared" si="24"/>
        <v/>
      </c>
      <c r="AC66" s="209"/>
      <c r="AD66" s="747" t="str">
        <f t="shared" si="51"/>
        <v/>
      </c>
      <c r="AE66" s="747" t="str">
        <f t="shared" si="52"/>
        <v/>
      </c>
      <c r="AF66" s="747" t="str">
        <f t="shared" si="53"/>
        <v/>
      </c>
      <c r="AG66" s="747" t="str">
        <f t="shared" si="54"/>
        <v/>
      </c>
      <c r="AH66" s="747" t="str">
        <f t="shared" si="55"/>
        <v/>
      </c>
      <c r="AI66" s="747" t="str">
        <f t="shared" si="25"/>
        <v/>
      </c>
      <c r="AJ66" s="747" t="str">
        <f t="shared" si="26"/>
        <v/>
      </c>
      <c r="AK66" s="776" t="str">
        <f t="shared" si="27"/>
        <v/>
      </c>
      <c r="AL66" s="802" t="str">
        <f t="shared" si="28"/>
        <v/>
      </c>
      <c r="AM66" s="747" t="str">
        <f t="shared" si="29"/>
        <v/>
      </c>
      <c r="AN66" s="771" t="str">
        <f t="shared" si="30"/>
        <v/>
      </c>
      <c r="AO66" s="771" t="str">
        <f t="shared" si="31"/>
        <v/>
      </c>
      <c r="AP66" s="808" t="str">
        <f t="shared" si="32"/>
        <v/>
      </c>
      <c r="AQ66" s="819" t="str">
        <f t="shared" si="33"/>
        <v/>
      </c>
      <c r="AR66" s="771" t="str">
        <f t="shared" si="34"/>
        <v/>
      </c>
      <c r="AS66" s="771" t="str">
        <f t="shared" si="35"/>
        <v/>
      </c>
      <c r="AT66" s="771" t="str">
        <f t="shared" si="36"/>
        <v/>
      </c>
      <c r="AU66" s="808" t="str">
        <f t="shared" si="37"/>
        <v/>
      </c>
      <c r="AV66" s="842" t="str">
        <f t="shared" si="38"/>
        <v/>
      </c>
      <c r="AW66" s="771" t="str">
        <f t="shared" si="39"/>
        <v/>
      </c>
      <c r="AX66" s="771" t="str">
        <f t="shared" si="40"/>
        <v/>
      </c>
      <c r="AY66" s="771" t="str">
        <f t="shared" si="41"/>
        <v/>
      </c>
      <c r="AZ66" s="831" t="str">
        <f t="shared" si="42"/>
        <v/>
      </c>
      <c r="BA66" s="835" t="str">
        <f t="shared" si="43"/>
        <v/>
      </c>
      <c r="BB66" s="772"/>
      <c r="BC66" s="275" t="str">
        <f t="shared" si="44"/>
        <v/>
      </c>
      <c r="BD66" s="275" t="str">
        <f t="shared" si="45"/>
        <v/>
      </c>
      <c r="BE66" s="886" t="str">
        <f t="shared" si="46"/>
        <v/>
      </c>
      <c r="BF66" s="873" t="str" cm="1">
        <f t="array" ref="BF66">IF($AE66="","",
_xlfn.IFS(
$BA66="Devis 1",
IF(ISBLANK(AN66),"",IFERROR(VALUE(TRIM(SUBSTITUTE(AN66,CHAR(160),""))),0)*IFERROR(VALUE(TRIM(SUBSTITUTE($AE66,CHAR(160),""))),0)),
$BA66="Devis 2",
IF(ISBLANK(AS66),"",IFERROR(VALUE(TRIM(SUBSTITUTE(AS66,CHAR(160),""))),0)*IFERROR(VALUE(TRIM(SUBSTITUTE($AE66,CHAR(160),""))),0)),
$BA66="Devis 3",
IF(ISBLANK(AX66),"",IFERROR(VALUE(TRIM(SUBSTITUTE(AX66,CHAR(160),""))),0)*IFERROR(VALUE(TRIM(SUBSTITUTE($AE66,CHAR(160),""))),0)),
TRUE,0
)
)</f>
        <v/>
      </c>
      <c r="BG66" s="873" t="str" cm="1">
        <f t="array" ref="BG66">IF($AE66="","",
_xlfn.IFS(
$BA66="Devis 1",
IF(ISBLANK(AO66),"",IFERROR(VALUE(TRIM(SUBSTITUTE(AO66,CHAR(160),""))),0)*IFERROR(VALUE(TRIM(SUBSTITUTE($AE66,CHAR(160),""))),0)),
$BA66="Devis 2",
IF(ISBLANK(AT66),"",IFERROR(VALUE(TRIM(SUBSTITUTE(AT66,CHAR(160),""))),0)*IFERROR(VALUE(TRIM(SUBSTITUTE($AE66,CHAR(160),""))),0)),
$BA66="Devis 3",
IF(ISBLANK(AY66),"",IFERROR(VALUE(TRIM(SUBSTITUTE(AY66,CHAR(160),""))),0)*IFERROR(VALUE(TRIM(SUBSTITUTE($AE66,CHAR(160),""))),0)),
TRUE,0
)
)</f>
        <v/>
      </c>
      <c r="BH66" s="874" t="str">
        <f t="shared" si="47"/>
        <v/>
      </c>
      <c r="BI66" s="866"/>
      <c r="BJ66" s="774" t="str" cm="1">
        <f t="array" ref="BJ66">IF(OR(BH66="",BE66="",BF66="",BC66="",BG66="",BD66=""),"",_xlfn.IFS(
ROUND(IFERROR(VALUE(TRIM(SUBSTITUTE(BH66,CHAR(160),""))),0),2)&gt;
ROUND(IFERROR(VALUE(TRIM(SUBSTITUTE(BE66,CHAR(160),""))),0),2),
"KO : Le montant retenu TTC est supérieur au montant raisonnable TTC. Merci de revoir la ligne de dépense ou plafonner son montant.",
ROUND(IFERROR(VALUE(TRIM(SUBSTITUTE(BF66,CHAR(160),""))),0),2)&gt;
ROUND(IFERROR(VALUE(TRIM(SUBSTITUTE(BC66,CHAR(160),""))),0),2),
"Attention : Le montant retenu HT est supérieur au montant HT raisonnable. Merci de revoir la ligne de dépense, plafonner son montant, ou justifier la reventillation HT / TVA.",
ROUND(IFERROR(VALUE(TRIM(SUBSTITUTE(BG66,CHAR(160),""))),0),2)&gt;
ROUND(IFERROR(VALUE(TRIM(SUBSTITUTE(BD66,CHAR(160),""))),0),2),
"Attention : Le montant TVA retenu est supérieur au montant TVA raisonnable. Merci de revoir la ligne de dépense, plafonner son montant, ou justifier la reventillation HT / TVA.",
ROUND(IFERROR(VALUE(TRIM(SUBSTITUTE(BH66,CHAR(160),""))),0),2)&gt;
ROUND(IFERROR(VALUE(TRIM(SUBSTITUTE(MIN(N66,S66,X66),CHAR(160),""))),0),2),
"Attention : Le devis retenu n'est pas le moins cher. Une justification de la part du porteur est nécessaire.",
ROUND(IFERROR(VALUE(TRIM(SUBSTITUTE(BH66,CHAR(160),""))),0),2)=0,
"Attention : montant présenté entièrement écarté",
ROUND(IFERROR(VALUE(TRIM(SUBSTITUTE(BE66,CHAR(160),""))),0),2)=
ROUND(IFERROR(VALUE(TRIM(SUBSTITUTE(BH66,CHAR(160),""))),0),2),
"OK",
ROUND(IFERROR(VALUE(TRIM(SUBSTITUTE(BE66,CHAR(160),""))),0),2)&gt;
ROUND(IFERROR(VALUE(TRIM(SUBSTITUTE(BH66,CHAR(160),""))),0),2),
" OK : Montant instruit inférieur au montant raisonnable.",
TRUE,""
))</f>
        <v/>
      </c>
      <c r="BK66" s="774" t="str" cm="1">
        <f t="array" ref="BK66">IF(OR(BH66="",AB66="",BF66="",Z66="",BG66="",AA66=""),"",_xlfn.IFS(
ROUND(IFERROR(VALUE(TRIM(SUBSTITUTE(BH66,CHAR(160),""))),0),2)&gt;
ROUND(IFERROR(VALUE(TRIM(SUBSTITUTE(AB66,CHAR(160),""))),0),2),
"KO : Le montant retenu TTC est supérieur au montant présenté TTC. Merci de revoir la ligne de dépense ou plafonner son montant.",
ROUND(IFERROR(VALUE(TRIM(SUBSTITUTE(BF66,CHAR(160),""))),0),2)&gt;
ROUND(IFERROR(VALUE(TRIM(SUBSTITUTE(Z66,CHAR(160),""))),0),2),
"Attention : Le montant retenu HT est supérieur au montant HT présenté. Merci de revoir la ligne de dépense, plafonner son montant, ou justifier la reventillation HT / TVA.",
ROUND(IFERROR(VALUE(TRIM(SUBSTITUTE(BG66,CHAR(160),""))),0),2)&gt;
ROUND(IFERROR(VALUE(TRIM(SUBSTITUTE(AA66,CHAR(160),""))),0),2),
"Attention : Le montant TVA retenu est supérieur au montant TVA présenté. Merci de revoir la ligne de dépense, plafonner son montant, ou justifier la reventillation HT / TVA.",
ROUND(IFERROR(VALUE(TRIM(SUBSTITUTE(AB66,CHAR(160),""))),0),2)=0,
"",
ROUND(IFERROR(VALUE(TRIM(SUBSTITUTE(BH66,CHAR(160),""))),0),2)=
ROUND(IFERROR(VALUE(TRIM(SUBSTITUTE(AB66,CHAR(160),""))),0),2),
"OK",
ROUND(IFERROR(VALUE(TRIM(SUBSTITUTE(BH66,CHAR(160),""))),0),2)=0,
"Attention : Montant présenté entièrement rejeté.",
ROUND(IFERROR(VALUE(TRIM(SUBSTITUTE(BH66,CHAR(160),""))),0),2)&lt;
ROUND(IFERROR(VALUE(TRIM(SUBSTITUTE(AB66,CHAR(160),""))),0),2),
"Attention : Montant présenté partiellement rejeté.",
TRUE,""
))</f>
        <v/>
      </c>
      <c r="BL66" s="773" t="str">
        <f t="shared" si="48"/>
        <v/>
      </c>
      <c r="BM66" s="773" t="str">
        <f t="shared" si="49"/>
        <v/>
      </c>
      <c r="BN66" s="773" t="str">
        <f t="shared" si="50"/>
        <v/>
      </c>
    </row>
    <row r="67" spans="1:66" ht="15" customHeight="1">
      <c r="A67" s="193">
        <v>63</v>
      </c>
      <c r="B67" s="7"/>
      <c r="C67" s="9"/>
      <c r="D67" s="30"/>
      <c r="E67" s="36"/>
      <c r="F67" s="34"/>
      <c r="G67" s="35"/>
      <c r="H67" s="685"/>
      <c r="I67" s="786"/>
      <c r="J67" s="792"/>
      <c r="K67" s="758"/>
      <c r="L67" s="761"/>
      <c r="M67" s="762"/>
      <c r="N67" s="808" t="str">
        <f t="shared" si="21"/>
        <v/>
      </c>
      <c r="O67" s="846"/>
      <c r="P67" s="847"/>
      <c r="Q67" s="762"/>
      <c r="R67" s="762"/>
      <c r="S67" s="808" t="str">
        <f t="shared" si="22"/>
        <v/>
      </c>
      <c r="T67" s="850"/>
      <c r="U67" s="847"/>
      <c r="V67" s="762"/>
      <c r="W67" s="762"/>
      <c r="X67" s="830" t="str">
        <f t="shared" si="23"/>
        <v/>
      </c>
      <c r="Y67" s="246"/>
      <c r="Z67" s="284" t="str" cm="1">
        <f t="array" ref="Z67">IF((_xlfn.IFS(TRIM(SUBSTITUTE(Y67,CHAR(160),""))="Devis 1",IFERROR(VALUE(TRIM(SUBSTITUTE(L67,CHAR(160),""))),0),TRIM(SUBSTITUTE(Y67,CHAR(160),""))="Devis 2",IFERROR(VALUE(TRIM(SUBSTITUTE(Q67,CHAR(160),""))),0),TRIM(SUBSTITUTE(Y67,CHAR(160),""))="Devis 3",IFERROR(VALUE(TRIM(SUBSTITUTE(V67,CHAR(160),""))),0),TRUE,0)*IFERROR(VALUE(TRIM(SUBSTITUTE(C67,CHAR(160),""))),0))=0,"",_xlfn.IFS(TRIM(SUBSTITUTE(Y67,CHAR(160),""))="Devis 1",IFERROR(VALUE(TRIM(SUBSTITUTE(L67,CHAR(160),""))),0),TRIM(SUBSTITUTE(Y67,CHAR(160),""))="Devis 2",IFERROR(VALUE(TRIM(SUBSTITUTE(Q67,CHAR(160),""))),0),TRIM(SUBSTITUTE(Y67,CHAR(160),""))="Devis 3",IFERROR(VALUE(TRIM(SUBSTITUTE(V67,CHAR(160),""))),0),TRUE,0)*IFERROR(VALUE(TRIM(SUBSTITUTE(C67,CHAR(160),""))),0))</f>
        <v/>
      </c>
      <c r="AA67" s="275" t="str" cm="1">
        <f t="array" ref="AA67">IF((_xlfn.IFS(TRIM(SUBSTITUTE(Y67,CHAR(160),""))="Devis 1",IFERROR(VALUE(TRIM(SUBSTITUTE(M67,CHAR(160),""))),0),TRIM(SUBSTITUTE(Y67,CHAR(160),""))="Devis 2",IFERROR(VALUE(TRIM(SUBSTITUTE(R67,CHAR(160),""))),0),TRIM(SUBSTITUTE(Y67,CHAR(160),""))="Devis 3",IFERROR(VALUE(TRIM(SUBSTITUTE(W67,CHAR(160),""))),0),TRUE,0)*IFERROR(VALUE(TRIM(SUBSTITUTE(C67,CHAR(160),""))),0))=0,IF(Z67&lt;&gt;"",0,""),_xlfn.IFS(TRIM(SUBSTITUTE(Y67,CHAR(160),""))="Devis 1",IFERROR(VALUE(TRIM(SUBSTITUTE(M67,CHAR(160),""))),0),TRIM(SUBSTITUTE(Y67,CHAR(160),""))="Devis 2",IFERROR(VALUE(TRIM(SUBSTITUTE(R67,CHAR(160),""))),0),TRIM(SUBSTITUTE(Y67,CHAR(160),""))="Devis 3",IFERROR(VALUE(TRIM(SUBSTITUTE(W67,CHAR(160),""))),0),TRUE,0)*IFERROR(VALUE(TRIM(SUBSTITUTE(C67,CHAR(160),""))),0))</f>
        <v/>
      </c>
      <c r="AB67" s="285" t="str">
        <f t="shared" si="24"/>
        <v/>
      </c>
      <c r="AC67" s="209"/>
      <c r="AD67" s="747" t="str">
        <f t="shared" si="51"/>
        <v/>
      </c>
      <c r="AE67" s="747" t="str">
        <f t="shared" si="52"/>
        <v/>
      </c>
      <c r="AF67" s="747" t="str">
        <f t="shared" si="53"/>
        <v/>
      </c>
      <c r="AG67" s="747" t="str">
        <f t="shared" si="54"/>
        <v/>
      </c>
      <c r="AH67" s="747" t="str">
        <f t="shared" si="55"/>
        <v/>
      </c>
      <c r="AI67" s="747" t="str">
        <f t="shared" si="25"/>
        <v/>
      </c>
      <c r="AJ67" s="747" t="str">
        <f t="shared" si="26"/>
        <v/>
      </c>
      <c r="AK67" s="776" t="str">
        <f t="shared" si="27"/>
        <v/>
      </c>
      <c r="AL67" s="802" t="str">
        <f t="shared" si="28"/>
        <v/>
      </c>
      <c r="AM67" s="747" t="str">
        <f t="shared" si="29"/>
        <v/>
      </c>
      <c r="AN67" s="771" t="str">
        <f t="shared" si="30"/>
        <v/>
      </c>
      <c r="AO67" s="771" t="str">
        <f t="shared" si="31"/>
        <v/>
      </c>
      <c r="AP67" s="808" t="str">
        <f t="shared" si="32"/>
        <v/>
      </c>
      <c r="AQ67" s="819" t="str">
        <f t="shared" si="33"/>
        <v/>
      </c>
      <c r="AR67" s="771" t="str">
        <f t="shared" si="34"/>
        <v/>
      </c>
      <c r="AS67" s="771" t="str">
        <f t="shared" si="35"/>
        <v/>
      </c>
      <c r="AT67" s="771" t="str">
        <f t="shared" si="36"/>
        <v/>
      </c>
      <c r="AU67" s="808" t="str">
        <f t="shared" si="37"/>
        <v/>
      </c>
      <c r="AV67" s="842" t="str">
        <f t="shared" si="38"/>
        <v/>
      </c>
      <c r="AW67" s="771" t="str">
        <f t="shared" si="39"/>
        <v/>
      </c>
      <c r="AX67" s="771" t="str">
        <f t="shared" si="40"/>
        <v/>
      </c>
      <c r="AY67" s="771" t="str">
        <f t="shared" si="41"/>
        <v/>
      </c>
      <c r="AZ67" s="831" t="str">
        <f t="shared" si="42"/>
        <v/>
      </c>
      <c r="BA67" s="835" t="str">
        <f t="shared" si="43"/>
        <v/>
      </c>
      <c r="BB67" s="772"/>
      <c r="BC67" s="275" t="str">
        <f t="shared" si="44"/>
        <v/>
      </c>
      <c r="BD67" s="275" t="str">
        <f t="shared" si="45"/>
        <v/>
      </c>
      <c r="BE67" s="886" t="str">
        <f t="shared" si="46"/>
        <v/>
      </c>
      <c r="BF67" s="873" t="str" cm="1">
        <f t="array" ref="BF67">IF($AE67="","",
_xlfn.IFS(
$BA67="Devis 1",
IF(ISBLANK(AN67),"",IFERROR(VALUE(TRIM(SUBSTITUTE(AN67,CHAR(160),""))),0)*IFERROR(VALUE(TRIM(SUBSTITUTE($AE67,CHAR(160),""))),0)),
$BA67="Devis 2",
IF(ISBLANK(AS67),"",IFERROR(VALUE(TRIM(SUBSTITUTE(AS67,CHAR(160),""))),0)*IFERROR(VALUE(TRIM(SUBSTITUTE($AE67,CHAR(160),""))),0)),
$BA67="Devis 3",
IF(ISBLANK(AX67),"",IFERROR(VALUE(TRIM(SUBSTITUTE(AX67,CHAR(160),""))),0)*IFERROR(VALUE(TRIM(SUBSTITUTE($AE67,CHAR(160),""))),0)),
TRUE,0
)
)</f>
        <v/>
      </c>
      <c r="BG67" s="873" t="str" cm="1">
        <f t="array" ref="BG67">IF($AE67="","",
_xlfn.IFS(
$BA67="Devis 1",
IF(ISBLANK(AO67),"",IFERROR(VALUE(TRIM(SUBSTITUTE(AO67,CHAR(160),""))),0)*IFERROR(VALUE(TRIM(SUBSTITUTE($AE67,CHAR(160),""))),0)),
$BA67="Devis 2",
IF(ISBLANK(AT67),"",IFERROR(VALUE(TRIM(SUBSTITUTE(AT67,CHAR(160),""))),0)*IFERROR(VALUE(TRIM(SUBSTITUTE($AE67,CHAR(160),""))),0)),
$BA67="Devis 3",
IF(ISBLANK(AY67),"",IFERROR(VALUE(TRIM(SUBSTITUTE(AY67,CHAR(160),""))),0)*IFERROR(VALUE(TRIM(SUBSTITUTE($AE67,CHAR(160),""))),0)),
TRUE,0
)
)</f>
        <v/>
      </c>
      <c r="BH67" s="874" t="str">
        <f t="shared" si="47"/>
        <v/>
      </c>
      <c r="BI67" s="866"/>
      <c r="BJ67" s="774" t="str" cm="1">
        <f t="array" ref="BJ67">IF(OR(BH67="",BE67="",BF67="",BC67="",BG67="",BD67=""),"",_xlfn.IFS(
ROUND(IFERROR(VALUE(TRIM(SUBSTITUTE(BH67,CHAR(160),""))),0),2)&gt;
ROUND(IFERROR(VALUE(TRIM(SUBSTITUTE(BE67,CHAR(160),""))),0),2),
"KO : Le montant retenu TTC est supérieur au montant raisonnable TTC. Merci de revoir la ligne de dépense ou plafonner son montant.",
ROUND(IFERROR(VALUE(TRIM(SUBSTITUTE(BF67,CHAR(160),""))),0),2)&gt;
ROUND(IFERROR(VALUE(TRIM(SUBSTITUTE(BC67,CHAR(160),""))),0),2),
"Attention : Le montant retenu HT est supérieur au montant HT raisonnable. Merci de revoir la ligne de dépense, plafonner son montant, ou justifier la reventillation HT / TVA.",
ROUND(IFERROR(VALUE(TRIM(SUBSTITUTE(BG67,CHAR(160),""))),0),2)&gt;
ROUND(IFERROR(VALUE(TRIM(SUBSTITUTE(BD67,CHAR(160),""))),0),2),
"Attention : Le montant TVA retenu est supérieur au montant TVA raisonnable. Merci de revoir la ligne de dépense, plafonner son montant, ou justifier la reventillation HT / TVA.",
ROUND(IFERROR(VALUE(TRIM(SUBSTITUTE(BH67,CHAR(160),""))),0),2)&gt;
ROUND(IFERROR(VALUE(TRIM(SUBSTITUTE(MIN(N67,S67,X67),CHAR(160),""))),0),2),
"Attention : Le devis retenu n'est pas le moins cher. Une justification de la part du porteur est nécessaire.",
ROUND(IFERROR(VALUE(TRIM(SUBSTITUTE(BH67,CHAR(160),""))),0),2)=0,
"Attention : montant présenté entièrement écarté",
ROUND(IFERROR(VALUE(TRIM(SUBSTITUTE(BE67,CHAR(160),""))),0),2)=
ROUND(IFERROR(VALUE(TRIM(SUBSTITUTE(BH67,CHAR(160),""))),0),2),
"OK",
ROUND(IFERROR(VALUE(TRIM(SUBSTITUTE(BE67,CHAR(160),""))),0),2)&gt;
ROUND(IFERROR(VALUE(TRIM(SUBSTITUTE(BH67,CHAR(160),""))),0),2),
" OK : Montant instruit inférieur au montant raisonnable.",
TRUE,""
))</f>
        <v/>
      </c>
      <c r="BK67" s="774" t="str" cm="1">
        <f t="array" ref="BK67">IF(OR(BH67="",AB67="",BF67="",Z67="",BG67="",AA67=""),"",_xlfn.IFS(
ROUND(IFERROR(VALUE(TRIM(SUBSTITUTE(BH67,CHAR(160),""))),0),2)&gt;
ROUND(IFERROR(VALUE(TRIM(SUBSTITUTE(AB67,CHAR(160),""))),0),2),
"KO : Le montant retenu TTC est supérieur au montant présenté TTC. Merci de revoir la ligne de dépense ou plafonner son montant.",
ROUND(IFERROR(VALUE(TRIM(SUBSTITUTE(BF67,CHAR(160),""))),0),2)&gt;
ROUND(IFERROR(VALUE(TRIM(SUBSTITUTE(Z67,CHAR(160),""))),0),2),
"Attention : Le montant retenu HT est supérieur au montant HT présenté. Merci de revoir la ligne de dépense, plafonner son montant, ou justifier la reventillation HT / TVA.",
ROUND(IFERROR(VALUE(TRIM(SUBSTITUTE(BG67,CHAR(160),""))),0),2)&gt;
ROUND(IFERROR(VALUE(TRIM(SUBSTITUTE(AA67,CHAR(160),""))),0),2),
"Attention : Le montant TVA retenu est supérieur au montant TVA présenté. Merci de revoir la ligne de dépense, plafonner son montant, ou justifier la reventillation HT / TVA.",
ROUND(IFERROR(VALUE(TRIM(SUBSTITUTE(AB67,CHAR(160),""))),0),2)=0,
"",
ROUND(IFERROR(VALUE(TRIM(SUBSTITUTE(BH67,CHAR(160),""))),0),2)=
ROUND(IFERROR(VALUE(TRIM(SUBSTITUTE(AB67,CHAR(160),""))),0),2),
"OK",
ROUND(IFERROR(VALUE(TRIM(SUBSTITUTE(BH67,CHAR(160),""))),0),2)=0,
"Attention : Montant présenté entièrement rejeté.",
ROUND(IFERROR(VALUE(TRIM(SUBSTITUTE(BH67,CHAR(160),""))),0),2)&lt;
ROUND(IFERROR(VALUE(TRIM(SUBSTITUTE(AB67,CHAR(160),""))),0),2),
"Attention : Montant présenté partiellement rejeté.",
TRUE,""
))</f>
        <v/>
      </c>
      <c r="BL67" s="773" t="str">
        <f t="shared" si="48"/>
        <v/>
      </c>
      <c r="BM67" s="773" t="str">
        <f t="shared" si="49"/>
        <v/>
      </c>
      <c r="BN67" s="773" t="str">
        <f t="shared" si="50"/>
        <v/>
      </c>
    </row>
    <row r="68" spans="1:66" ht="15" customHeight="1">
      <c r="A68" s="193">
        <v>64</v>
      </c>
      <c r="B68" s="7"/>
      <c r="C68" s="9"/>
      <c r="D68" s="30"/>
      <c r="E68" s="36"/>
      <c r="F68" s="34"/>
      <c r="G68" s="35"/>
      <c r="H68" s="685"/>
      <c r="I68" s="786"/>
      <c r="J68" s="792"/>
      <c r="K68" s="758"/>
      <c r="L68" s="761"/>
      <c r="M68" s="762"/>
      <c r="N68" s="808" t="str">
        <f t="shared" si="21"/>
        <v/>
      </c>
      <c r="O68" s="846"/>
      <c r="P68" s="847"/>
      <c r="Q68" s="762"/>
      <c r="R68" s="762"/>
      <c r="S68" s="808" t="str">
        <f t="shared" si="22"/>
        <v/>
      </c>
      <c r="T68" s="850"/>
      <c r="U68" s="847"/>
      <c r="V68" s="762"/>
      <c r="W68" s="762"/>
      <c r="X68" s="830" t="str">
        <f t="shared" si="23"/>
        <v/>
      </c>
      <c r="Y68" s="246"/>
      <c r="Z68" s="284" t="str" cm="1">
        <f t="array" ref="Z68">IF((_xlfn.IFS(TRIM(SUBSTITUTE(Y68,CHAR(160),""))="Devis 1",IFERROR(VALUE(TRIM(SUBSTITUTE(L68,CHAR(160),""))),0),TRIM(SUBSTITUTE(Y68,CHAR(160),""))="Devis 2",IFERROR(VALUE(TRIM(SUBSTITUTE(Q68,CHAR(160),""))),0),TRIM(SUBSTITUTE(Y68,CHAR(160),""))="Devis 3",IFERROR(VALUE(TRIM(SUBSTITUTE(V68,CHAR(160),""))),0),TRUE,0)*IFERROR(VALUE(TRIM(SUBSTITUTE(C68,CHAR(160),""))),0))=0,"",_xlfn.IFS(TRIM(SUBSTITUTE(Y68,CHAR(160),""))="Devis 1",IFERROR(VALUE(TRIM(SUBSTITUTE(L68,CHAR(160),""))),0),TRIM(SUBSTITUTE(Y68,CHAR(160),""))="Devis 2",IFERROR(VALUE(TRIM(SUBSTITUTE(Q68,CHAR(160),""))),0),TRIM(SUBSTITUTE(Y68,CHAR(160),""))="Devis 3",IFERROR(VALUE(TRIM(SUBSTITUTE(V68,CHAR(160),""))),0),TRUE,0)*IFERROR(VALUE(TRIM(SUBSTITUTE(C68,CHAR(160),""))),0))</f>
        <v/>
      </c>
      <c r="AA68" s="275" t="str" cm="1">
        <f t="array" ref="AA68">IF((_xlfn.IFS(TRIM(SUBSTITUTE(Y68,CHAR(160),""))="Devis 1",IFERROR(VALUE(TRIM(SUBSTITUTE(M68,CHAR(160),""))),0),TRIM(SUBSTITUTE(Y68,CHAR(160),""))="Devis 2",IFERROR(VALUE(TRIM(SUBSTITUTE(R68,CHAR(160),""))),0),TRIM(SUBSTITUTE(Y68,CHAR(160),""))="Devis 3",IFERROR(VALUE(TRIM(SUBSTITUTE(W68,CHAR(160),""))),0),TRUE,0)*IFERROR(VALUE(TRIM(SUBSTITUTE(C68,CHAR(160),""))),0))=0,IF(Z68&lt;&gt;"",0,""),_xlfn.IFS(TRIM(SUBSTITUTE(Y68,CHAR(160),""))="Devis 1",IFERROR(VALUE(TRIM(SUBSTITUTE(M68,CHAR(160),""))),0),TRIM(SUBSTITUTE(Y68,CHAR(160),""))="Devis 2",IFERROR(VALUE(TRIM(SUBSTITUTE(R68,CHAR(160),""))),0),TRIM(SUBSTITUTE(Y68,CHAR(160),""))="Devis 3",IFERROR(VALUE(TRIM(SUBSTITUTE(W68,CHAR(160),""))),0),TRUE,0)*IFERROR(VALUE(TRIM(SUBSTITUTE(C68,CHAR(160),""))),0))</f>
        <v/>
      </c>
      <c r="AB68" s="285" t="str">
        <f t="shared" si="24"/>
        <v/>
      </c>
      <c r="AC68" s="209"/>
      <c r="AD68" s="747" t="str">
        <f t="shared" ref="AD68:AD104" si="56">IF(B68="","",B68)</f>
        <v/>
      </c>
      <c r="AE68" s="747" t="str">
        <f t="shared" ref="AE68:AE104" si="57">IF(C68="","",C68)</f>
        <v/>
      </c>
      <c r="AF68" s="747" t="str">
        <f t="shared" ref="AF68:AF104" si="58">IF(D68="","",D68)</f>
        <v/>
      </c>
      <c r="AG68" s="747" t="str">
        <f t="shared" ref="AG68:AG104" si="59">IF(E68="","",E68)</f>
        <v/>
      </c>
      <c r="AH68" s="747" t="str">
        <f t="shared" ref="AH68:AH104" si="60">IF(F68="","",F68)</f>
        <v/>
      </c>
      <c r="AI68" s="747" t="str">
        <f t="shared" si="25"/>
        <v/>
      </c>
      <c r="AJ68" s="747" t="str">
        <f t="shared" si="26"/>
        <v/>
      </c>
      <c r="AK68" s="776" t="str">
        <f t="shared" si="27"/>
        <v/>
      </c>
      <c r="AL68" s="802" t="str">
        <f t="shared" si="28"/>
        <v/>
      </c>
      <c r="AM68" s="747" t="str">
        <f t="shared" si="29"/>
        <v/>
      </c>
      <c r="AN68" s="771" t="str">
        <f t="shared" si="30"/>
        <v/>
      </c>
      <c r="AO68" s="771" t="str">
        <f t="shared" si="31"/>
        <v/>
      </c>
      <c r="AP68" s="808" t="str">
        <f t="shared" si="32"/>
        <v/>
      </c>
      <c r="AQ68" s="819" t="str">
        <f t="shared" si="33"/>
        <v/>
      </c>
      <c r="AR68" s="771" t="str">
        <f t="shared" si="34"/>
        <v/>
      </c>
      <c r="AS68" s="771" t="str">
        <f t="shared" si="35"/>
        <v/>
      </c>
      <c r="AT68" s="771" t="str">
        <f t="shared" si="36"/>
        <v/>
      </c>
      <c r="AU68" s="808" t="str">
        <f t="shared" si="37"/>
        <v/>
      </c>
      <c r="AV68" s="842" t="str">
        <f t="shared" si="38"/>
        <v/>
      </c>
      <c r="AW68" s="771" t="str">
        <f t="shared" si="39"/>
        <v/>
      </c>
      <c r="AX68" s="771" t="str">
        <f t="shared" si="40"/>
        <v/>
      </c>
      <c r="AY68" s="771" t="str">
        <f t="shared" si="41"/>
        <v/>
      </c>
      <c r="AZ68" s="831" t="str">
        <f t="shared" si="42"/>
        <v/>
      </c>
      <c r="BA68" s="835" t="str">
        <f t="shared" si="43"/>
        <v/>
      </c>
      <c r="BB68" s="772"/>
      <c r="BC68" s="275" t="str">
        <f t="shared" si="44"/>
        <v/>
      </c>
      <c r="BD68" s="275" t="str">
        <f t="shared" si="45"/>
        <v/>
      </c>
      <c r="BE68" s="886" t="str">
        <f t="shared" si="46"/>
        <v/>
      </c>
      <c r="BF68" s="873" t="str" cm="1">
        <f t="array" ref="BF68">IF($AE68="","",
_xlfn.IFS(
$BA68="Devis 1",
IF(ISBLANK(AN68),"",IFERROR(VALUE(TRIM(SUBSTITUTE(AN68,CHAR(160),""))),0)*IFERROR(VALUE(TRIM(SUBSTITUTE($AE68,CHAR(160),""))),0)),
$BA68="Devis 2",
IF(ISBLANK(AS68),"",IFERROR(VALUE(TRIM(SUBSTITUTE(AS68,CHAR(160),""))),0)*IFERROR(VALUE(TRIM(SUBSTITUTE($AE68,CHAR(160),""))),0)),
$BA68="Devis 3",
IF(ISBLANK(AX68),"",IFERROR(VALUE(TRIM(SUBSTITUTE(AX68,CHAR(160),""))),0)*IFERROR(VALUE(TRIM(SUBSTITUTE($AE68,CHAR(160),""))),0)),
TRUE,0
)
)</f>
        <v/>
      </c>
      <c r="BG68" s="873" t="str" cm="1">
        <f t="array" ref="BG68">IF($AE68="","",
_xlfn.IFS(
$BA68="Devis 1",
IF(ISBLANK(AO68),"",IFERROR(VALUE(TRIM(SUBSTITUTE(AO68,CHAR(160),""))),0)*IFERROR(VALUE(TRIM(SUBSTITUTE($AE68,CHAR(160),""))),0)),
$BA68="Devis 2",
IF(ISBLANK(AT68),"",IFERROR(VALUE(TRIM(SUBSTITUTE(AT68,CHAR(160),""))),0)*IFERROR(VALUE(TRIM(SUBSTITUTE($AE68,CHAR(160),""))),0)),
$BA68="Devis 3",
IF(ISBLANK(AY68),"",IFERROR(VALUE(TRIM(SUBSTITUTE(AY68,CHAR(160),""))),0)*IFERROR(VALUE(TRIM(SUBSTITUTE($AE68,CHAR(160),""))),0)),
TRUE,0
)
)</f>
        <v/>
      </c>
      <c r="BH68" s="874" t="str">
        <f t="shared" si="47"/>
        <v/>
      </c>
      <c r="BI68" s="866"/>
      <c r="BJ68" s="774" t="str" cm="1">
        <f t="array" ref="BJ68">IF(OR(BH68="",BE68="",BF68="",BC68="",BG68="",BD68=""),"",_xlfn.IFS(
ROUND(IFERROR(VALUE(TRIM(SUBSTITUTE(BH68,CHAR(160),""))),0),2)&gt;
ROUND(IFERROR(VALUE(TRIM(SUBSTITUTE(BE68,CHAR(160),""))),0),2),
"KO : Le montant retenu TTC est supérieur au montant raisonnable TTC. Merci de revoir la ligne de dépense ou plafonner son montant.",
ROUND(IFERROR(VALUE(TRIM(SUBSTITUTE(BF68,CHAR(160),""))),0),2)&gt;
ROUND(IFERROR(VALUE(TRIM(SUBSTITUTE(BC68,CHAR(160),""))),0),2),
"Attention : Le montant retenu HT est supérieur au montant HT raisonnable. Merci de revoir la ligne de dépense, plafonner son montant, ou justifier la reventillation HT / TVA.",
ROUND(IFERROR(VALUE(TRIM(SUBSTITUTE(BG68,CHAR(160),""))),0),2)&gt;
ROUND(IFERROR(VALUE(TRIM(SUBSTITUTE(BD68,CHAR(160),""))),0),2),
"Attention : Le montant TVA retenu est supérieur au montant TVA raisonnable. Merci de revoir la ligne de dépense, plafonner son montant, ou justifier la reventillation HT / TVA.",
ROUND(IFERROR(VALUE(TRIM(SUBSTITUTE(BH68,CHAR(160),""))),0),2)&gt;
ROUND(IFERROR(VALUE(TRIM(SUBSTITUTE(MIN(N68,S68,X68),CHAR(160),""))),0),2),
"Attention : Le devis retenu n'est pas le moins cher. Une justification de la part du porteur est nécessaire.",
ROUND(IFERROR(VALUE(TRIM(SUBSTITUTE(BH68,CHAR(160),""))),0),2)=0,
"Attention : montant présenté entièrement écarté",
ROUND(IFERROR(VALUE(TRIM(SUBSTITUTE(BE68,CHAR(160),""))),0),2)=
ROUND(IFERROR(VALUE(TRIM(SUBSTITUTE(BH68,CHAR(160),""))),0),2),
"OK",
ROUND(IFERROR(VALUE(TRIM(SUBSTITUTE(BE68,CHAR(160),""))),0),2)&gt;
ROUND(IFERROR(VALUE(TRIM(SUBSTITUTE(BH68,CHAR(160),""))),0),2),
" OK : Montant instruit inférieur au montant raisonnable.",
TRUE,""
))</f>
        <v/>
      </c>
      <c r="BK68" s="774" t="str" cm="1">
        <f t="array" ref="BK68">IF(OR(BH68="",AB68="",BF68="",Z68="",BG68="",AA68=""),"",_xlfn.IFS(
ROUND(IFERROR(VALUE(TRIM(SUBSTITUTE(BH68,CHAR(160),""))),0),2)&gt;
ROUND(IFERROR(VALUE(TRIM(SUBSTITUTE(AB68,CHAR(160),""))),0),2),
"KO : Le montant retenu TTC est supérieur au montant présenté TTC. Merci de revoir la ligne de dépense ou plafonner son montant.",
ROUND(IFERROR(VALUE(TRIM(SUBSTITUTE(BF68,CHAR(160),""))),0),2)&gt;
ROUND(IFERROR(VALUE(TRIM(SUBSTITUTE(Z68,CHAR(160),""))),0),2),
"Attention : Le montant retenu HT est supérieur au montant HT présenté. Merci de revoir la ligne de dépense, plafonner son montant, ou justifier la reventillation HT / TVA.",
ROUND(IFERROR(VALUE(TRIM(SUBSTITUTE(BG68,CHAR(160),""))),0),2)&gt;
ROUND(IFERROR(VALUE(TRIM(SUBSTITUTE(AA68,CHAR(160),""))),0),2),
"Attention : Le montant TVA retenu est supérieur au montant TVA présenté. Merci de revoir la ligne de dépense, plafonner son montant, ou justifier la reventillation HT / TVA.",
ROUND(IFERROR(VALUE(TRIM(SUBSTITUTE(AB68,CHAR(160),""))),0),2)=0,
"",
ROUND(IFERROR(VALUE(TRIM(SUBSTITUTE(BH68,CHAR(160),""))),0),2)=
ROUND(IFERROR(VALUE(TRIM(SUBSTITUTE(AB68,CHAR(160),""))),0),2),
"OK",
ROUND(IFERROR(VALUE(TRIM(SUBSTITUTE(BH68,CHAR(160),""))),0),2)=0,
"Attention : Montant présenté entièrement rejeté.",
ROUND(IFERROR(VALUE(TRIM(SUBSTITUTE(BH68,CHAR(160),""))),0),2)&lt;
ROUND(IFERROR(VALUE(TRIM(SUBSTITUTE(AB68,CHAR(160),""))),0),2),
"Attention : Montant présenté partiellement rejeté.",
TRUE,""
))</f>
        <v/>
      </c>
      <c r="BL68" s="773" t="str">
        <f t="shared" si="48"/>
        <v/>
      </c>
      <c r="BM68" s="773" t="str">
        <f t="shared" si="49"/>
        <v/>
      </c>
      <c r="BN68" s="773" t="str">
        <f t="shared" si="50"/>
        <v/>
      </c>
    </row>
    <row r="69" spans="1:66" ht="15" customHeight="1">
      <c r="A69" s="193">
        <v>65</v>
      </c>
      <c r="B69" s="7"/>
      <c r="C69" s="9"/>
      <c r="D69" s="30"/>
      <c r="E69" s="36"/>
      <c r="F69" s="34"/>
      <c r="G69" s="35"/>
      <c r="H69" s="685"/>
      <c r="I69" s="786"/>
      <c r="J69" s="792"/>
      <c r="K69" s="758"/>
      <c r="L69" s="761"/>
      <c r="M69" s="762"/>
      <c r="N69" s="808" t="str">
        <f t="shared" si="21"/>
        <v/>
      </c>
      <c r="O69" s="846"/>
      <c r="P69" s="847"/>
      <c r="Q69" s="762"/>
      <c r="R69" s="762"/>
      <c r="S69" s="808" t="str">
        <f t="shared" si="22"/>
        <v/>
      </c>
      <c r="T69" s="850"/>
      <c r="U69" s="847"/>
      <c r="V69" s="762"/>
      <c r="W69" s="762"/>
      <c r="X69" s="830" t="str">
        <f t="shared" si="23"/>
        <v/>
      </c>
      <c r="Y69" s="246"/>
      <c r="Z69" s="284" t="str" cm="1">
        <f t="array" ref="Z69">IF((_xlfn.IFS(TRIM(SUBSTITUTE(Y69,CHAR(160),""))="Devis 1",IFERROR(VALUE(TRIM(SUBSTITUTE(L69,CHAR(160),""))),0),TRIM(SUBSTITUTE(Y69,CHAR(160),""))="Devis 2",IFERROR(VALUE(TRIM(SUBSTITUTE(Q69,CHAR(160),""))),0),TRIM(SUBSTITUTE(Y69,CHAR(160),""))="Devis 3",IFERROR(VALUE(TRIM(SUBSTITUTE(V69,CHAR(160),""))),0),TRUE,0)*IFERROR(VALUE(TRIM(SUBSTITUTE(C69,CHAR(160),""))),0))=0,"",_xlfn.IFS(TRIM(SUBSTITUTE(Y69,CHAR(160),""))="Devis 1",IFERROR(VALUE(TRIM(SUBSTITUTE(L69,CHAR(160),""))),0),TRIM(SUBSTITUTE(Y69,CHAR(160),""))="Devis 2",IFERROR(VALUE(TRIM(SUBSTITUTE(Q69,CHAR(160),""))),0),TRIM(SUBSTITUTE(Y69,CHAR(160),""))="Devis 3",IFERROR(VALUE(TRIM(SUBSTITUTE(V69,CHAR(160),""))),0),TRUE,0)*IFERROR(VALUE(TRIM(SUBSTITUTE(C69,CHAR(160),""))),0))</f>
        <v/>
      </c>
      <c r="AA69" s="275" t="str" cm="1">
        <f t="array" ref="AA69">IF((_xlfn.IFS(TRIM(SUBSTITUTE(Y69,CHAR(160),""))="Devis 1",IFERROR(VALUE(TRIM(SUBSTITUTE(M69,CHAR(160),""))),0),TRIM(SUBSTITUTE(Y69,CHAR(160),""))="Devis 2",IFERROR(VALUE(TRIM(SUBSTITUTE(R69,CHAR(160),""))),0),TRIM(SUBSTITUTE(Y69,CHAR(160),""))="Devis 3",IFERROR(VALUE(TRIM(SUBSTITUTE(W69,CHAR(160),""))),0),TRUE,0)*IFERROR(VALUE(TRIM(SUBSTITUTE(C69,CHAR(160),""))),0))=0,IF(Z69&lt;&gt;"",0,""),_xlfn.IFS(TRIM(SUBSTITUTE(Y69,CHAR(160),""))="Devis 1",IFERROR(VALUE(TRIM(SUBSTITUTE(M69,CHAR(160),""))),0),TRIM(SUBSTITUTE(Y69,CHAR(160),""))="Devis 2",IFERROR(VALUE(TRIM(SUBSTITUTE(R69,CHAR(160),""))),0),TRIM(SUBSTITUTE(Y69,CHAR(160),""))="Devis 3",IFERROR(VALUE(TRIM(SUBSTITUTE(W69,CHAR(160),""))),0),TRUE,0)*IFERROR(VALUE(TRIM(SUBSTITUTE(C69,CHAR(160),""))),0))</f>
        <v/>
      </c>
      <c r="AB69" s="285" t="str">
        <f t="shared" si="24"/>
        <v/>
      </c>
      <c r="AC69" s="209"/>
      <c r="AD69" s="747" t="str">
        <f t="shared" si="56"/>
        <v/>
      </c>
      <c r="AE69" s="747" t="str">
        <f t="shared" si="57"/>
        <v/>
      </c>
      <c r="AF69" s="747" t="str">
        <f t="shared" si="58"/>
        <v/>
      </c>
      <c r="AG69" s="747" t="str">
        <f t="shared" si="59"/>
        <v/>
      </c>
      <c r="AH69" s="747" t="str">
        <f t="shared" si="60"/>
        <v/>
      </c>
      <c r="AI69" s="747" t="str">
        <f t="shared" si="25"/>
        <v/>
      </c>
      <c r="AJ69" s="747" t="str">
        <f t="shared" si="26"/>
        <v/>
      </c>
      <c r="AK69" s="776" t="str">
        <f t="shared" si="27"/>
        <v/>
      </c>
      <c r="AL69" s="802" t="str">
        <f t="shared" si="28"/>
        <v/>
      </c>
      <c r="AM69" s="747" t="str">
        <f t="shared" si="29"/>
        <v/>
      </c>
      <c r="AN69" s="771" t="str">
        <f t="shared" si="30"/>
        <v/>
      </c>
      <c r="AO69" s="771" t="str">
        <f t="shared" si="31"/>
        <v/>
      </c>
      <c r="AP69" s="808" t="str">
        <f t="shared" si="32"/>
        <v/>
      </c>
      <c r="AQ69" s="819" t="str">
        <f t="shared" si="33"/>
        <v/>
      </c>
      <c r="AR69" s="771" t="str">
        <f t="shared" si="34"/>
        <v/>
      </c>
      <c r="AS69" s="771" t="str">
        <f t="shared" si="35"/>
        <v/>
      </c>
      <c r="AT69" s="771" t="str">
        <f t="shared" si="36"/>
        <v/>
      </c>
      <c r="AU69" s="808" t="str">
        <f t="shared" si="37"/>
        <v/>
      </c>
      <c r="AV69" s="842" t="str">
        <f t="shared" si="38"/>
        <v/>
      </c>
      <c r="AW69" s="771" t="str">
        <f t="shared" si="39"/>
        <v/>
      </c>
      <c r="AX69" s="771" t="str">
        <f t="shared" si="40"/>
        <v/>
      </c>
      <c r="AY69" s="771" t="str">
        <f t="shared" si="41"/>
        <v/>
      </c>
      <c r="AZ69" s="831" t="str">
        <f t="shared" si="42"/>
        <v/>
      </c>
      <c r="BA69" s="835" t="str">
        <f t="shared" si="43"/>
        <v/>
      </c>
      <c r="BB69" s="772"/>
      <c r="BC69" s="275" t="str">
        <f t="shared" si="44"/>
        <v/>
      </c>
      <c r="BD69" s="275" t="str">
        <f t="shared" si="45"/>
        <v/>
      </c>
      <c r="BE69" s="886" t="str">
        <f t="shared" si="46"/>
        <v/>
      </c>
      <c r="BF69" s="873" t="str" cm="1">
        <f t="array" ref="BF69">IF($AE69="","",
_xlfn.IFS(
$BA69="Devis 1",
IF(ISBLANK(AN69),"",IFERROR(VALUE(TRIM(SUBSTITUTE(AN69,CHAR(160),""))),0)*IFERROR(VALUE(TRIM(SUBSTITUTE($AE69,CHAR(160),""))),0)),
$BA69="Devis 2",
IF(ISBLANK(AS69),"",IFERROR(VALUE(TRIM(SUBSTITUTE(AS69,CHAR(160),""))),0)*IFERROR(VALUE(TRIM(SUBSTITUTE($AE69,CHAR(160),""))),0)),
$BA69="Devis 3",
IF(ISBLANK(AX69),"",IFERROR(VALUE(TRIM(SUBSTITUTE(AX69,CHAR(160),""))),0)*IFERROR(VALUE(TRIM(SUBSTITUTE($AE69,CHAR(160),""))),0)),
TRUE,0
)
)</f>
        <v/>
      </c>
      <c r="BG69" s="873" t="str" cm="1">
        <f t="array" ref="BG69">IF($AE69="","",
_xlfn.IFS(
$BA69="Devis 1",
IF(ISBLANK(AO69),"",IFERROR(VALUE(TRIM(SUBSTITUTE(AO69,CHAR(160),""))),0)*IFERROR(VALUE(TRIM(SUBSTITUTE($AE69,CHAR(160),""))),0)),
$BA69="Devis 2",
IF(ISBLANK(AT69),"",IFERROR(VALUE(TRIM(SUBSTITUTE(AT69,CHAR(160),""))),0)*IFERROR(VALUE(TRIM(SUBSTITUTE($AE69,CHAR(160),""))),0)),
$BA69="Devis 3",
IF(ISBLANK(AY69),"",IFERROR(VALUE(TRIM(SUBSTITUTE(AY69,CHAR(160),""))),0)*IFERROR(VALUE(TRIM(SUBSTITUTE($AE69,CHAR(160),""))),0)),
TRUE,0
)
)</f>
        <v/>
      </c>
      <c r="BH69" s="874" t="str">
        <f t="shared" si="47"/>
        <v/>
      </c>
      <c r="BI69" s="866"/>
      <c r="BJ69" s="774" t="str" cm="1">
        <f t="array" ref="BJ69">IF(OR(BH69="",BE69="",BF69="",BC69="",BG69="",BD69=""),"",_xlfn.IFS(
ROUND(IFERROR(VALUE(TRIM(SUBSTITUTE(BH69,CHAR(160),""))),0),2)&gt;
ROUND(IFERROR(VALUE(TRIM(SUBSTITUTE(BE69,CHAR(160),""))),0),2),
"KO : Le montant retenu TTC est supérieur au montant raisonnable TTC. Merci de revoir la ligne de dépense ou plafonner son montant.",
ROUND(IFERROR(VALUE(TRIM(SUBSTITUTE(BF69,CHAR(160),""))),0),2)&gt;
ROUND(IFERROR(VALUE(TRIM(SUBSTITUTE(BC69,CHAR(160),""))),0),2),
"Attention : Le montant retenu HT est supérieur au montant HT raisonnable. Merci de revoir la ligne de dépense, plafonner son montant, ou justifier la reventillation HT / TVA.",
ROUND(IFERROR(VALUE(TRIM(SUBSTITUTE(BG69,CHAR(160),""))),0),2)&gt;
ROUND(IFERROR(VALUE(TRIM(SUBSTITUTE(BD69,CHAR(160),""))),0),2),
"Attention : Le montant TVA retenu est supérieur au montant TVA raisonnable. Merci de revoir la ligne de dépense, plafonner son montant, ou justifier la reventillation HT / TVA.",
ROUND(IFERROR(VALUE(TRIM(SUBSTITUTE(BH69,CHAR(160),""))),0),2)&gt;
ROUND(IFERROR(VALUE(TRIM(SUBSTITUTE(MIN(N69,S69,X69),CHAR(160),""))),0),2),
"Attention : Le devis retenu n'est pas le moins cher. Une justification de la part du porteur est nécessaire.",
ROUND(IFERROR(VALUE(TRIM(SUBSTITUTE(BH69,CHAR(160),""))),0),2)=0,
"Attention : montant présenté entièrement écarté",
ROUND(IFERROR(VALUE(TRIM(SUBSTITUTE(BE69,CHAR(160),""))),0),2)=
ROUND(IFERROR(VALUE(TRIM(SUBSTITUTE(BH69,CHAR(160),""))),0),2),
"OK",
ROUND(IFERROR(VALUE(TRIM(SUBSTITUTE(BE69,CHAR(160),""))),0),2)&gt;
ROUND(IFERROR(VALUE(TRIM(SUBSTITUTE(BH69,CHAR(160),""))),0),2),
" OK : Montant instruit inférieur au montant raisonnable.",
TRUE,""
))</f>
        <v/>
      </c>
      <c r="BK69" s="774" t="str" cm="1">
        <f t="array" ref="BK69">IF(OR(BH69="",AB69="",BF69="",Z69="",BG69="",AA69=""),"",_xlfn.IFS(
ROUND(IFERROR(VALUE(TRIM(SUBSTITUTE(BH69,CHAR(160),""))),0),2)&gt;
ROUND(IFERROR(VALUE(TRIM(SUBSTITUTE(AB69,CHAR(160),""))),0),2),
"KO : Le montant retenu TTC est supérieur au montant présenté TTC. Merci de revoir la ligne de dépense ou plafonner son montant.",
ROUND(IFERROR(VALUE(TRIM(SUBSTITUTE(BF69,CHAR(160),""))),0),2)&gt;
ROUND(IFERROR(VALUE(TRIM(SUBSTITUTE(Z69,CHAR(160),""))),0),2),
"Attention : Le montant retenu HT est supérieur au montant HT présenté. Merci de revoir la ligne de dépense, plafonner son montant, ou justifier la reventillation HT / TVA.",
ROUND(IFERROR(VALUE(TRIM(SUBSTITUTE(BG69,CHAR(160),""))),0),2)&gt;
ROUND(IFERROR(VALUE(TRIM(SUBSTITUTE(AA69,CHAR(160),""))),0),2),
"Attention : Le montant TVA retenu est supérieur au montant TVA présenté. Merci de revoir la ligne de dépense, plafonner son montant, ou justifier la reventillation HT / TVA.",
ROUND(IFERROR(VALUE(TRIM(SUBSTITUTE(AB69,CHAR(160),""))),0),2)=0,
"",
ROUND(IFERROR(VALUE(TRIM(SUBSTITUTE(BH69,CHAR(160),""))),0),2)=
ROUND(IFERROR(VALUE(TRIM(SUBSTITUTE(AB69,CHAR(160),""))),0),2),
"OK",
ROUND(IFERROR(VALUE(TRIM(SUBSTITUTE(BH69,CHAR(160),""))),0),2)=0,
"Attention : Montant présenté entièrement rejeté.",
ROUND(IFERROR(VALUE(TRIM(SUBSTITUTE(BH69,CHAR(160),""))),0),2)&lt;
ROUND(IFERROR(VALUE(TRIM(SUBSTITUTE(AB69,CHAR(160),""))),0),2),
"Attention : Montant présenté partiellement rejeté.",
TRUE,""
))</f>
        <v/>
      </c>
      <c r="BL69" s="773" t="str">
        <f t="shared" si="48"/>
        <v/>
      </c>
      <c r="BM69" s="773" t="str">
        <f t="shared" si="49"/>
        <v/>
      </c>
      <c r="BN69" s="773" t="str">
        <f t="shared" si="50"/>
        <v/>
      </c>
    </row>
    <row r="70" spans="1:66" ht="15" customHeight="1">
      <c r="A70" s="193">
        <v>66</v>
      </c>
      <c r="B70" s="7"/>
      <c r="C70" s="9"/>
      <c r="D70" s="30"/>
      <c r="E70" s="36"/>
      <c r="F70" s="34"/>
      <c r="G70" s="35"/>
      <c r="H70" s="685"/>
      <c r="I70" s="786"/>
      <c r="J70" s="792"/>
      <c r="K70" s="758"/>
      <c r="L70" s="761"/>
      <c r="M70" s="762"/>
      <c r="N70" s="808" t="str">
        <f t="shared" ref="N70:N104" si="61">IF(OR(L70="", M70=""), "", IFERROR(VALUE(TRIM(SUBSTITUTE(L70,CHAR(160),""))),0) + IFERROR(VALUE(TRIM(SUBSTITUTE(M70,CHAR(160),""))),0))</f>
        <v/>
      </c>
      <c r="O70" s="846"/>
      <c r="P70" s="847"/>
      <c r="Q70" s="762"/>
      <c r="R70" s="762"/>
      <c r="S70" s="808" t="str">
        <f t="shared" ref="S70:S104" si="62">IF(OR(Q70="", R70=""), "", IFERROR(VALUE(TRIM(SUBSTITUTE(Q70,CHAR(160),""))),0) + IFERROR(VALUE(TRIM(SUBSTITUTE(R70,CHAR(160),""))),0))</f>
        <v/>
      </c>
      <c r="T70" s="850"/>
      <c r="U70" s="847"/>
      <c r="V70" s="762"/>
      <c r="W70" s="762"/>
      <c r="X70" s="830" t="str">
        <f t="shared" ref="X70:X104" si="63">IF(OR(V70="", W70=""), "", IFERROR(VALUE(TRIM(SUBSTITUTE(V70,CHAR(160),""))),0) + IFERROR(VALUE(TRIM(SUBSTITUTE(W70,CHAR(160),""))),0))</f>
        <v/>
      </c>
      <c r="Y70" s="246"/>
      <c r="Z70" s="284" t="str" cm="1">
        <f t="array" ref="Z70">IF((_xlfn.IFS(TRIM(SUBSTITUTE(Y70,CHAR(160),""))="Devis 1",IFERROR(VALUE(TRIM(SUBSTITUTE(L70,CHAR(160),""))),0),TRIM(SUBSTITUTE(Y70,CHAR(160),""))="Devis 2",IFERROR(VALUE(TRIM(SUBSTITUTE(Q70,CHAR(160),""))),0),TRIM(SUBSTITUTE(Y70,CHAR(160),""))="Devis 3",IFERROR(VALUE(TRIM(SUBSTITUTE(V70,CHAR(160),""))),0),TRUE,0)*IFERROR(VALUE(TRIM(SUBSTITUTE(C70,CHAR(160),""))),0))=0,"",_xlfn.IFS(TRIM(SUBSTITUTE(Y70,CHAR(160),""))="Devis 1",IFERROR(VALUE(TRIM(SUBSTITUTE(L70,CHAR(160),""))),0),TRIM(SUBSTITUTE(Y70,CHAR(160),""))="Devis 2",IFERROR(VALUE(TRIM(SUBSTITUTE(Q70,CHAR(160),""))),0),TRIM(SUBSTITUTE(Y70,CHAR(160),""))="Devis 3",IFERROR(VALUE(TRIM(SUBSTITUTE(V70,CHAR(160),""))),0),TRUE,0)*IFERROR(VALUE(TRIM(SUBSTITUTE(C70,CHAR(160),""))),0))</f>
        <v/>
      </c>
      <c r="AA70" s="275" t="str" cm="1">
        <f t="array" ref="AA70">IF((_xlfn.IFS(TRIM(SUBSTITUTE(Y70,CHAR(160),""))="Devis 1",IFERROR(VALUE(TRIM(SUBSTITUTE(M70,CHAR(160),""))),0),TRIM(SUBSTITUTE(Y70,CHAR(160),""))="Devis 2",IFERROR(VALUE(TRIM(SUBSTITUTE(R70,CHAR(160),""))),0),TRIM(SUBSTITUTE(Y70,CHAR(160),""))="Devis 3",IFERROR(VALUE(TRIM(SUBSTITUTE(W70,CHAR(160),""))),0),TRUE,0)*IFERROR(VALUE(TRIM(SUBSTITUTE(C70,CHAR(160),""))),0))=0,IF(Z70&lt;&gt;"",0,""),_xlfn.IFS(TRIM(SUBSTITUTE(Y70,CHAR(160),""))="Devis 1",IFERROR(VALUE(TRIM(SUBSTITUTE(M70,CHAR(160),""))),0),TRIM(SUBSTITUTE(Y70,CHAR(160),""))="Devis 2",IFERROR(VALUE(TRIM(SUBSTITUTE(R70,CHAR(160),""))),0),TRIM(SUBSTITUTE(Y70,CHAR(160),""))="Devis 3",IFERROR(VALUE(TRIM(SUBSTITUTE(W70,CHAR(160),""))),0),TRUE,0)*IFERROR(VALUE(TRIM(SUBSTITUTE(C70,CHAR(160),""))),0))</f>
        <v/>
      </c>
      <c r="AB70" s="285" t="str">
        <f t="shared" ref="AB70:AB104" si="64">IF(OR(Z70="", AA70=""), "", IFERROR(VALUE(TRIM(SUBSTITUTE(Z70,CHAR(160),""))),0) + IFERROR(VALUE(TRIM(SUBSTITUTE(AA70,CHAR(160),""))),0))</f>
        <v/>
      </c>
      <c r="AC70" s="209"/>
      <c r="AD70" s="747" t="str">
        <f t="shared" si="56"/>
        <v/>
      </c>
      <c r="AE70" s="747" t="str">
        <f t="shared" si="57"/>
        <v/>
      </c>
      <c r="AF70" s="747" t="str">
        <f t="shared" si="58"/>
        <v/>
      </c>
      <c r="AG70" s="747" t="str">
        <f t="shared" si="59"/>
        <v/>
      </c>
      <c r="AH70" s="747" t="str">
        <f t="shared" si="60"/>
        <v/>
      </c>
      <c r="AI70" s="747" t="str">
        <f t="shared" ref="AI70:AI104" si="65">IF(G70="","",G70)</f>
        <v/>
      </c>
      <c r="AJ70" s="747" t="str">
        <f t="shared" ref="AJ70:AJ104" si="66">IF(H70="","",H70)</f>
        <v/>
      </c>
      <c r="AK70" s="776" t="str">
        <f t="shared" ref="AK70:AK104" si="67">IF(I70="","",I70)</f>
        <v/>
      </c>
      <c r="AL70" s="802" t="str">
        <f t="shared" ref="AL70:AL104" si="68">IF(J70="","",J70)</f>
        <v/>
      </c>
      <c r="AM70" s="747" t="str">
        <f t="shared" ref="AM70:AM104" si="69">IF(K70="","",K70)</f>
        <v/>
      </c>
      <c r="AN70" s="771" t="str">
        <f t="shared" ref="AN70:AN104" si="70">IF(L70="","",L70)</f>
        <v/>
      </c>
      <c r="AO70" s="771" t="str">
        <f t="shared" ref="AO70:AO104" si="71">IF(M70="","",M70)</f>
        <v/>
      </c>
      <c r="AP70" s="808" t="str">
        <f t="shared" ref="AP70:AP104" si="72">IF(OR(AN70="", AO70=""), "", IFERROR(VALUE(TRIM(SUBSTITUTE(AN70,CHAR(160),""))),0) + IFERROR(VALUE(TRIM(SUBSTITUTE(AO70,CHAR(160),""))),0))</f>
        <v/>
      </c>
      <c r="AQ70" s="819" t="str">
        <f t="shared" ref="AQ70:AQ104" si="73">IF(O70="","",O70)</f>
        <v/>
      </c>
      <c r="AR70" s="771" t="str">
        <f t="shared" ref="AR70:AR104" si="74">IF(P70="","",P70)</f>
        <v/>
      </c>
      <c r="AS70" s="771" t="str">
        <f t="shared" ref="AS70:AS104" si="75">IF(Q70="","",Q70)</f>
        <v/>
      </c>
      <c r="AT70" s="771" t="str">
        <f t="shared" ref="AT70:AT104" si="76">IF(R70="","",R70)</f>
        <v/>
      </c>
      <c r="AU70" s="808" t="str">
        <f t="shared" ref="AU70:AU104" si="77">IF(OR(AS70="",AT70=""),"",IFERROR(VALUE(TRIM(SUBSTITUTE(AS70,CHAR(160),""))),0)+IFERROR(VALUE(TRIM(SUBSTITUTE(AT70,CHAR(160),""))),0))</f>
        <v/>
      </c>
      <c r="AV70" s="842" t="str">
        <f t="shared" ref="AV70:AV104" si="78">IF(T70="","",T70)</f>
        <v/>
      </c>
      <c r="AW70" s="771" t="str">
        <f t="shared" ref="AW70:AW104" si="79">IF(U70="","",U70)</f>
        <v/>
      </c>
      <c r="AX70" s="771" t="str">
        <f t="shared" ref="AX70:AX104" si="80">IF(V70="","",V70)</f>
        <v/>
      </c>
      <c r="AY70" s="771" t="str">
        <f t="shared" ref="AY70:AY104" si="81">IF(W70="","",W70)</f>
        <v/>
      </c>
      <c r="AZ70" s="831" t="str">
        <f t="shared" ref="AZ70:AZ104" si="82">IF(OR(AX70="",AY70=""),"",IFERROR(VALUE(TRIM(SUBSTITUTE(AX70,CHAR(160),""))),0)+IFERROR(VALUE(TRIM(SUBSTITUTE(AY70,CHAR(160),""))),0))</f>
        <v/>
      </c>
      <c r="BA70" s="835" t="str">
        <f t="shared" ref="BA70:BA104" si="83">IF(Y70="","",Y70)</f>
        <v/>
      </c>
      <c r="BB70" s="772"/>
      <c r="BC70" s="275" t="str">
        <f t="shared" ref="BC70:BC104" si="84">IF(AF70="","",
IF(
AND(
IFERROR(VALUE(TRIM(SUBSTITUTE(AN70,CHAR(160),""))),0)=0,
IFERROR(VALUE(TRIM(SUBSTITUTE(AS70,CHAR(160),""))),0)=0,
IFERROR(VALUE(TRIM(SUBSTITUTE(AX70,CHAR(160),""))),0)=0
),
0,
IF(
1.15*
MIN(
IF(IFERROR(VALUE(TRIM(SUBSTITUTE(AN70,CHAR(160),""))),0)=0,1E+30,IFERROR(VALUE(TRIM(SUBSTITUTE(AN70,CHAR(160),""))),0)),
IF(IFERROR(VALUE(TRIM(SUBSTITUTE(AS70,CHAR(160),""))),0)=0,1E+30,IFERROR(VALUE(TRIM(SUBSTITUTE(AS70,CHAR(160),""))),0)),
IF(IFERROR(VALUE(TRIM(SUBSTITUTE(AX70,CHAR(160),""))),0)=0,1E+30,IFERROR(VALUE(TRIM(SUBSTITUTE(AX70,CHAR(160),""))),0))
)
*IFERROR(VALUE(TRIM(SUBSTITUTE(AE70,CHAR(160),""))),0)
=0,
0,
1.15*
MIN(
IF(IFERROR(VALUE(TRIM(SUBSTITUTE(AN70,CHAR(160),""))),0)=0,1E+30,IFERROR(VALUE(TRIM(SUBSTITUTE(AN70,CHAR(160),""))),0)),
IF(IFERROR(VALUE(TRIM(SUBSTITUTE(AS70,CHAR(160),""))),0)=0,1E+30,IFERROR(VALUE(TRIM(SUBSTITUTE(AS70,CHAR(160),""))),0)),
IF(IFERROR(VALUE(TRIM(SUBSTITUTE(AX70,CHAR(160),""))),0)=0,1E+30,IFERROR(VALUE(TRIM(SUBSTITUTE(AX70,CHAR(160),""))),0))
)
*IFERROR(VALUE(TRIM(SUBSTITUTE(AE70,CHAR(160),""))),0)
)
)
)</f>
        <v/>
      </c>
      <c r="BD70" s="275" t="str">
        <f t="shared" ref="BD70:BD104" si="85">IF(AF70="","",
IF(
AND(
IFERROR(VALUE(TRIM(SUBSTITUTE(AO70,CHAR(160),""))),0)=0,
IFERROR(VALUE(TRIM(SUBSTITUTE(AT70,CHAR(160),""))),0)=0,
IFERROR(VALUE(TRIM(SUBSTITUTE(AY70,CHAR(160),""))),0)=0
),
0,
IF(
1.15*
MIN(
IF(IFERROR(VALUE(TRIM(SUBSTITUTE(AO70,CHAR(160),""))),0)=0,1E+30,IFERROR(VALUE(TRIM(SUBSTITUTE(AO70,CHAR(160),""))),0)),
IF(IFERROR(VALUE(TRIM(SUBSTITUTE(AT70,CHAR(160),""))),0)=0,1E+30,IFERROR(VALUE(TRIM(SUBSTITUTE(AT70,CHAR(160),""))),0)),
IF(IFERROR(VALUE(TRIM(SUBSTITUTE(AY70,CHAR(160),""))),0)=0,1E+30,IFERROR(VALUE(TRIM(SUBSTITUTE(AY70,CHAR(160),""))),0))
)
*IFERROR(VALUE(TRIM(SUBSTITUTE(AE70,CHAR(160),""))),0)
=0,
0,
1.15*
MIN(
IF(IFERROR(VALUE(TRIM(SUBSTITUTE(AO70,CHAR(160),""))),0)=0,1E+30,IFERROR(VALUE(TRIM(SUBSTITUTE(AO70,CHAR(160),""))),0)),
IF(IFERROR(VALUE(TRIM(SUBSTITUTE(AT70,CHAR(160),""))),0)=0,1E+30,IFERROR(VALUE(TRIM(SUBSTITUTE(AT70,CHAR(160),""))),0)),
IF(IFERROR(VALUE(TRIM(SUBSTITUTE(AY70,CHAR(160),""))),0)=0,1E+30,IFERROR(VALUE(TRIM(SUBSTITUTE(AY70,CHAR(160),""))),0))
)
*IFERROR(VALUE(TRIM(SUBSTITUTE(AE70,CHAR(160),""))),0)
)
)
)</f>
        <v/>
      </c>
      <c r="BE70" s="886" t="str">
        <f t="shared" ref="BE70:BE104" si="86">IF(BC70="","",BC70+BD70)</f>
        <v/>
      </c>
      <c r="BF70" s="873" t="str" cm="1">
        <f t="array" ref="BF70">IF($AE70="","",
_xlfn.IFS(
$BA70="Devis 1",
IF(ISBLANK(AN70),"",IFERROR(VALUE(TRIM(SUBSTITUTE(AN70,CHAR(160),""))),0)*IFERROR(VALUE(TRIM(SUBSTITUTE($AE70,CHAR(160),""))),0)),
$BA70="Devis 2",
IF(ISBLANK(AS70),"",IFERROR(VALUE(TRIM(SUBSTITUTE(AS70,CHAR(160),""))),0)*IFERROR(VALUE(TRIM(SUBSTITUTE($AE70,CHAR(160),""))),0)),
$BA70="Devis 3",
IF(ISBLANK(AX70),"",IFERROR(VALUE(TRIM(SUBSTITUTE(AX70,CHAR(160),""))),0)*IFERROR(VALUE(TRIM(SUBSTITUTE($AE70,CHAR(160),""))),0)),
TRUE,0
)
)</f>
        <v/>
      </c>
      <c r="BG70" s="873" t="str" cm="1">
        <f t="array" ref="BG70">IF($AE70="","",
_xlfn.IFS(
$BA70="Devis 1",
IF(ISBLANK(AO70),"",IFERROR(VALUE(TRIM(SUBSTITUTE(AO70,CHAR(160),""))),0)*IFERROR(VALUE(TRIM(SUBSTITUTE($AE70,CHAR(160),""))),0)),
$BA70="Devis 2",
IF(ISBLANK(AT70),"",IFERROR(VALUE(TRIM(SUBSTITUTE(AT70,CHAR(160),""))),0)*IFERROR(VALUE(TRIM(SUBSTITUTE($AE70,CHAR(160),""))),0)),
$BA70="Devis 3",
IF(ISBLANK(AY70),"",IFERROR(VALUE(TRIM(SUBSTITUTE(AY70,CHAR(160),""))),0)*IFERROR(VALUE(TRIM(SUBSTITUTE($AE70,CHAR(160),""))),0)),
TRUE,0
)
)</f>
        <v/>
      </c>
      <c r="BH70" s="874" t="str">
        <f t="shared" ref="BH70:BH104" si="87">IF(BF70="","",BF70+BG70)</f>
        <v/>
      </c>
      <c r="BI70" s="866"/>
      <c r="BJ70" s="774" t="str" cm="1">
        <f t="array" ref="BJ70">IF(OR(BH70="",BE70="",BF70="",BC70="",BG70="",BD70=""),"",_xlfn.IFS(
ROUND(IFERROR(VALUE(TRIM(SUBSTITUTE(BH70,CHAR(160),""))),0),2)&gt;
ROUND(IFERROR(VALUE(TRIM(SUBSTITUTE(BE70,CHAR(160),""))),0),2),
"KO : Le montant retenu TTC est supérieur au montant raisonnable TTC. Merci de revoir la ligne de dépense ou plafonner son montant.",
ROUND(IFERROR(VALUE(TRIM(SUBSTITUTE(BF70,CHAR(160),""))),0),2)&gt;
ROUND(IFERROR(VALUE(TRIM(SUBSTITUTE(BC70,CHAR(160),""))),0),2),
"Attention : Le montant retenu HT est supérieur au montant HT raisonnable. Merci de revoir la ligne de dépense, plafonner son montant, ou justifier la reventillation HT / TVA.",
ROUND(IFERROR(VALUE(TRIM(SUBSTITUTE(BG70,CHAR(160),""))),0),2)&gt;
ROUND(IFERROR(VALUE(TRIM(SUBSTITUTE(BD70,CHAR(160),""))),0),2),
"Attention : Le montant TVA retenu est supérieur au montant TVA raisonnable. Merci de revoir la ligne de dépense, plafonner son montant, ou justifier la reventillation HT / TVA.",
ROUND(IFERROR(VALUE(TRIM(SUBSTITUTE(BH70,CHAR(160),""))),0),2)&gt;
ROUND(IFERROR(VALUE(TRIM(SUBSTITUTE(MIN(N70,S70,X70),CHAR(160),""))),0),2),
"Attention : Le devis retenu n'est pas le moins cher. Une justification de la part du porteur est nécessaire.",
ROUND(IFERROR(VALUE(TRIM(SUBSTITUTE(BH70,CHAR(160),""))),0),2)=0,
"Attention : montant présenté entièrement écarté",
ROUND(IFERROR(VALUE(TRIM(SUBSTITUTE(BE70,CHAR(160),""))),0),2)=
ROUND(IFERROR(VALUE(TRIM(SUBSTITUTE(BH70,CHAR(160),""))),0),2),
"OK",
ROUND(IFERROR(VALUE(TRIM(SUBSTITUTE(BE70,CHAR(160),""))),0),2)&gt;
ROUND(IFERROR(VALUE(TRIM(SUBSTITUTE(BH70,CHAR(160),""))),0),2),
" OK : Montant instruit inférieur au montant raisonnable.",
TRUE,""
))</f>
        <v/>
      </c>
      <c r="BK70" s="774" t="str" cm="1">
        <f t="array" ref="BK70">IF(OR(BH70="",AB70="",BF70="",Z70="",BG70="",AA70=""),"",_xlfn.IFS(
ROUND(IFERROR(VALUE(TRIM(SUBSTITUTE(BH70,CHAR(160),""))),0),2)&gt;
ROUND(IFERROR(VALUE(TRIM(SUBSTITUTE(AB70,CHAR(160),""))),0),2),
"KO : Le montant retenu TTC est supérieur au montant présenté TTC. Merci de revoir la ligne de dépense ou plafonner son montant.",
ROUND(IFERROR(VALUE(TRIM(SUBSTITUTE(BF70,CHAR(160),""))),0),2)&gt;
ROUND(IFERROR(VALUE(TRIM(SUBSTITUTE(Z70,CHAR(160),""))),0),2),
"Attention : Le montant retenu HT est supérieur au montant HT présenté. Merci de revoir la ligne de dépense, plafonner son montant, ou justifier la reventillation HT / TVA.",
ROUND(IFERROR(VALUE(TRIM(SUBSTITUTE(BG70,CHAR(160),""))),0),2)&gt;
ROUND(IFERROR(VALUE(TRIM(SUBSTITUTE(AA70,CHAR(160),""))),0),2),
"Attention : Le montant TVA retenu est supérieur au montant TVA présenté. Merci de revoir la ligne de dépense, plafonner son montant, ou justifier la reventillation HT / TVA.",
ROUND(IFERROR(VALUE(TRIM(SUBSTITUTE(AB70,CHAR(160),""))),0),2)=0,
"",
ROUND(IFERROR(VALUE(TRIM(SUBSTITUTE(BH70,CHAR(160),""))),0),2)=
ROUND(IFERROR(VALUE(TRIM(SUBSTITUTE(AB70,CHAR(160),""))),0),2),
"OK",
ROUND(IFERROR(VALUE(TRIM(SUBSTITUTE(BH70,CHAR(160),""))),0),2)=0,
"Attention : Montant présenté entièrement rejeté.",
ROUND(IFERROR(VALUE(TRIM(SUBSTITUTE(BH70,CHAR(160),""))),0),2)&lt;
ROUND(IFERROR(VALUE(TRIM(SUBSTITUTE(AB70,CHAR(160),""))),0),2),
"Attention : Montant présenté partiellement rejeté.",
TRUE,""
))</f>
        <v/>
      </c>
      <c r="BL70" s="773" t="str">
        <f t="shared" ref="BL70:BL104" si="88">IF(OR(Z70="",BF70=""),"",(IFERROR(VALUE(TRIM(SUBSTITUTE(Z70,CHAR(160),""))),0))-(IFERROR(VALUE(TRIM(SUBSTITUTE(BF70,CHAR(160),""))),0)))</f>
        <v/>
      </c>
      <c r="BM70" s="773" t="str">
        <f t="shared" ref="BM70:BM104" si="89">IF(OR(AA70="",BG70=""),"",(IFERROR(VALUE(TRIM(SUBSTITUTE(AA70,CHAR(160),""))),0))-(IFERROR(VALUE(TRIM(SUBSTITUTE(BG70,CHAR(160),""))),0)))</f>
        <v/>
      </c>
      <c r="BN70" s="773" t="str">
        <f t="shared" ref="BN70:BN104" si="90">IF(OR(AB70="",BH70=""),"",(IFERROR(VALUE(TRIM(SUBSTITUTE(AB70,CHAR(160),""))),0))-(IFERROR(VALUE(TRIM(SUBSTITUTE(BH70,CHAR(160),""))),0)))</f>
        <v/>
      </c>
    </row>
    <row r="71" spans="1:66" ht="15" customHeight="1">
      <c r="A71" s="193">
        <v>67</v>
      </c>
      <c r="B71" s="7"/>
      <c r="C71" s="9"/>
      <c r="D71" s="30"/>
      <c r="E71" s="36"/>
      <c r="F71" s="34"/>
      <c r="G71" s="35"/>
      <c r="H71" s="685"/>
      <c r="I71" s="786"/>
      <c r="J71" s="792"/>
      <c r="K71" s="758"/>
      <c r="L71" s="761"/>
      <c r="M71" s="762"/>
      <c r="N71" s="808" t="str">
        <f t="shared" si="61"/>
        <v/>
      </c>
      <c r="O71" s="846"/>
      <c r="P71" s="847"/>
      <c r="Q71" s="762"/>
      <c r="R71" s="762"/>
      <c r="S71" s="808" t="str">
        <f t="shared" si="62"/>
        <v/>
      </c>
      <c r="T71" s="850"/>
      <c r="U71" s="847"/>
      <c r="V71" s="762"/>
      <c r="W71" s="762"/>
      <c r="X71" s="830" t="str">
        <f t="shared" si="63"/>
        <v/>
      </c>
      <c r="Y71" s="246"/>
      <c r="Z71" s="284" t="str" cm="1">
        <f t="array" ref="Z71">IF((_xlfn.IFS(TRIM(SUBSTITUTE(Y71,CHAR(160),""))="Devis 1",IFERROR(VALUE(TRIM(SUBSTITUTE(L71,CHAR(160),""))),0),TRIM(SUBSTITUTE(Y71,CHAR(160),""))="Devis 2",IFERROR(VALUE(TRIM(SUBSTITUTE(Q71,CHAR(160),""))),0),TRIM(SUBSTITUTE(Y71,CHAR(160),""))="Devis 3",IFERROR(VALUE(TRIM(SUBSTITUTE(V71,CHAR(160),""))),0),TRUE,0)*IFERROR(VALUE(TRIM(SUBSTITUTE(C71,CHAR(160),""))),0))=0,"",_xlfn.IFS(TRIM(SUBSTITUTE(Y71,CHAR(160),""))="Devis 1",IFERROR(VALUE(TRIM(SUBSTITUTE(L71,CHAR(160),""))),0),TRIM(SUBSTITUTE(Y71,CHAR(160),""))="Devis 2",IFERROR(VALUE(TRIM(SUBSTITUTE(Q71,CHAR(160),""))),0),TRIM(SUBSTITUTE(Y71,CHAR(160),""))="Devis 3",IFERROR(VALUE(TRIM(SUBSTITUTE(V71,CHAR(160),""))),0),TRUE,0)*IFERROR(VALUE(TRIM(SUBSTITUTE(C71,CHAR(160),""))),0))</f>
        <v/>
      </c>
      <c r="AA71" s="275" t="str" cm="1">
        <f t="array" ref="AA71">IF((_xlfn.IFS(TRIM(SUBSTITUTE(Y71,CHAR(160),""))="Devis 1",IFERROR(VALUE(TRIM(SUBSTITUTE(M71,CHAR(160),""))),0),TRIM(SUBSTITUTE(Y71,CHAR(160),""))="Devis 2",IFERROR(VALUE(TRIM(SUBSTITUTE(R71,CHAR(160),""))),0),TRIM(SUBSTITUTE(Y71,CHAR(160),""))="Devis 3",IFERROR(VALUE(TRIM(SUBSTITUTE(W71,CHAR(160),""))),0),TRUE,0)*IFERROR(VALUE(TRIM(SUBSTITUTE(C71,CHAR(160),""))),0))=0,IF(Z71&lt;&gt;"",0,""),_xlfn.IFS(TRIM(SUBSTITUTE(Y71,CHAR(160),""))="Devis 1",IFERROR(VALUE(TRIM(SUBSTITUTE(M71,CHAR(160),""))),0),TRIM(SUBSTITUTE(Y71,CHAR(160),""))="Devis 2",IFERROR(VALUE(TRIM(SUBSTITUTE(R71,CHAR(160),""))),0),TRIM(SUBSTITUTE(Y71,CHAR(160),""))="Devis 3",IFERROR(VALUE(TRIM(SUBSTITUTE(W71,CHAR(160),""))),0),TRUE,0)*IFERROR(VALUE(TRIM(SUBSTITUTE(C71,CHAR(160),""))),0))</f>
        <v/>
      </c>
      <c r="AB71" s="285" t="str">
        <f t="shared" si="64"/>
        <v/>
      </c>
      <c r="AC71" s="209"/>
      <c r="AD71" s="747" t="str">
        <f t="shared" si="56"/>
        <v/>
      </c>
      <c r="AE71" s="747" t="str">
        <f t="shared" si="57"/>
        <v/>
      </c>
      <c r="AF71" s="747" t="str">
        <f t="shared" si="58"/>
        <v/>
      </c>
      <c r="AG71" s="747" t="str">
        <f t="shared" si="59"/>
        <v/>
      </c>
      <c r="AH71" s="747" t="str">
        <f t="shared" si="60"/>
        <v/>
      </c>
      <c r="AI71" s="747" t="str">
        <f t="shared" si="65"/>
        <v/>
      </c>
      <c r="AJ71" s="747" t="str">
        <f t="shared" si="66"/>
        <v/>
      </c>
      <c r="AK71" s="776" t="str">
        <f t="shared" si="67"/>
        <v/>
      </c>
      <c r="AL71" s="802" t="str">
        <f t="shared" si="68"/>
        <v/>
      </c>
      <c r="AM71" s="747" t="str">
        <f t="shared" si="69"/>
        <v/>
      </c>
      <c r="AN71" s="771" t="str">
        <f t="shared" si="70"/>
        <v/>
      </c>
      <c r="AO71" s="771" t="str">
        <f t="shared" si="71"/>
        <v/>
      </c>
      <c r="AP71" s="808" t="str">
        <f t="shared" si="72"/>
        <v/>
      </c>
      <c r="AQ71" s="819" t="str">
        <f t="shared" si="73"/>
        <v/>
      </c>
      <c r="AR71" s="771" t="str">
        <f t="shared" si="74"/>
        <v/>
      </c>
      <c r="AS71" s="771" t="str">
        <f t="shared" si="75"/>
        <v/>
      </c>
      <c r="AT71" s="771" t="str">
        <f t="shared" si="76"/>
        <v/>
      </c>
      <c r="AU71" s="808" t="str">
        <f t="shared" si="77"/>
        <v/>
      </c>
      <c r="AV71" s="842" t="str">
        <f t="shared" si="78"/>
        <v/>
      </c>
      <c r="AW71" s="771" t="str">
        <f t="shared" si="79"/>
        <v/>
      </c>
      <c r="AX71" s="771" t="str">
        <f t="shared" si="80"/>
        <v/>
      </c>
      <c r="AY71" s="771" t="str">
        <f t="shared" si="81"/>
        <v/>
      </c>
      <c r="AZ71" s="831" t="str">
        <f t="shared" si="82"/>
        <v/>
      </c>
      <c r="BA71" s="835" t="str">
        <f t="shared" si="83"/>
        <v/>
      </c>
      <c r="BB71" s="772"/>
      <c r="BC71" s="275" t="str">
        <f t="shared" si="84"/>
        <v/>
      </c>
      <c r="BD71" s="275" t="str">
        <f t="shared" si="85"/>
        <v/>
      </c>
      <c r="BE71" s="886" t="str">
        <f t="shared" si="86"/>
        <v/>
      </c>
      <c r="BF71" s="873" t="str" cm="1">
        <f t="array" ref="BF71">IF($AE71="","",
_xlfn.IFS(
$BA71="Devis 1",
IF(ISBLANK(AN71),"",IFERROR(VALUE(TRIM(SUBSTITUTE(AN71,CHAR(160),""))),0)*IFERROR(VALUE(TRIM(SUBSTITUTE($AE71,CHAR(160),""))),0)),
$BA71="Devis 2",
IF(ISBLANK(AS71),"",IFERROR(VALUE(TRIM(SUBSTITUTE(AS71,CHAR(160),""))),0)*IFERROR(VALUE(TRIM(SUBSTITUTE($AE71,CHAR(160),""))),0)),
$BA71="Devis 3",
IF(ISBLANK(AX71),"",IFERROR(VALUE(TRIM(SUBSTITUTE(AX71,CHAR(160),""))),0)*IFERROR(VALUE(TRIM(SUBSTITUTE($AE71,CHAR(160),""))),0)),
TRUE,0
)
)</f>
        <v/>
      </c>
      <c r="BG71" s="873" t="str" cm="1">
        <f t="array" ref="BG71">IF($AE71="","",
_xlfn.IFS(
$BA71="Devis 1",
IF(ISBLANK(AO71),"",IFERROR(VALUE(TRIM(SUBSTITUTE(AO71,CHAR(160),""))),0)*IFERROR(VALUE(TRIM(SUBSTITUTE($AE71,CHAR(160),""))),0)),
$BA71="Devis 2",
IF(ISBLANK(AT71),"",IFERROR(VALUE(TRIM(SUBSTITUTE(AT71,CHAR(160),""))),0)*IFERROR(VALUE(TRIM(SUBSTITUTE($AE71,CHAR(160),""))),0)),
$BA71="Devis 3",
IF(ISBLANK(AY71),"",IFERROR(VALUE(TRIM(SUBSTITUTE(AY71,CHAR(160),""))),0)*IFERROR(VALUE(TRIM(SUBSTITUTE($AE71,CHAR(160),""))),0)),
TRUE,0
)
)</f>
        <v/>
      </c>
      <c r="BH71" s="874" t="str">
        <f t="shared" si="87"/>
        <v/>
      </c>
      <c r="BI71" s="866"/>
      <c r="BJ71" s="774" t="str" cm="1">
        <f t="array" ref="BJ71">IF(OR(BH71="",BE71="",BF71="",BC71="",BG71="",BD71=""),"",_xlfn.IFS(
ROUND(IFERROR(VALUE(TRIM(SUBSTITUTE(BH71,CHAR(160),""))),0),2)&gt;
ROUND(IFERROR(VALUE(TRIM(SUBSTITUTE(BE71,CHAR(160),""))),0),2),
"KO : Le montant retenu TTC est supérieur au montant raisonnable TTC. Merci de revoir la ligne de dépense ou plafonner son montant.",
ROUND(IFERROR(VALUE(TRIM(SUBSTITUTE(BF71,CHAR(160),""))),0),2)&gt;
ROUND(IFERROR(VALUE(TRIM(SUBSTITUTE(BC71,CHAR(160),""))),0),2),
"Attention : Le montant retenu HT est supérieur au montant HT raisonnable. Merci de revoir la ligne de dépense, plafonner son montant, ou justifier la reventillation HT / TVA.",
ROUND(IFERROR(VALUE(TRIM(SUBSTITUTE(BG71,CHAR(160),""))),0),2)&gt;
ROUND(IFERROR(VALUE(TRIM(SUBSTITUTE(BD71,CHAR(160),""))),0),2),
"Attention : Le montant TVA retenu est supérieur au montant TVA raisonnable. Merci de revoir la ligne de dépense, plafonner son montant, ou justifier la reventillation HT / TVA.",
ROUND(IFERROR(VALUE(TRIM(SUBSTITUTE(BH71,CHAR(160),""))),0),2)&gt;
ROUND(IFERROR(VALUE(TRIM(SUBSTITUTE(MIN(N71,S71,X71),CHAR(160),""))),0),2),
"Attention : Le devis retenu n'est pas le moins cher. Une justification de la part du porteur est nécessaire.",
ROUND(IFERROR(VALUE(TRIM(SUBSTITUTE(BH71,CHAR(160),""))),0),2)=0,
"Attention : montant présenté entièrement écarté",
ROUND(IFERROR(VALUE(TRIM(SUBSTITUTE(BE71,CHAR(160),""))),0),2)=
ROUND(IFERROR(VALUE(TRIM(SUBSTITUTE(BH71,CHAR(160),""))),0),2),
"OK",
ROUND(IFERROR(VALUE(TRIM(SUBSTITUTE(BE71,CHAR(160),""))),0),2)&gt;
ROUND(IFERROR(VALUE(TRIM(SUBSTITUTE(BH71,CHAR(160),""))),0),2),
" OK : Montant instruit inférieur au montant raisonnable.",
TRUE,""
))</f>
        <v/>
      </c>
      <c r="BK71" s="774" t="str" cm="1">
        <f t="array" ref="BK71">IF(OR(BH71="",AB71="",BF71="",Z71="",BG71="",AA71=""),"",_xlfn.IFS(
ROUND(IFERROR(VALUE(TRIM(SUBSTITUTE(BH71,CHAR(160),""))),0),2)&gt;
ROUND(IFERROR(VALUE(TRIM(SUBSTITUTE(AB71,CHAR(160),""))),0),2),
"KO : Le montant retenu TTC est supérieur au montant présenté TTC. Merci de revoir la ligne de dépense ou plafonner son montant.",
ROUND(IFERROR(VALUE(TRIM(SUBSTITUTE(BF71,CHAR(160),""))),0),2)&gt;
ROUND(IFERROR(VALUE(TRIM(SUBSTITUTE(Z71,CHAR(160),""))),0),2),
"Attention : Le montant retenu HT est supérieur au montant HT présenté. Merci de revoir la ligne de dépense, plafonner son montant, ou justifier la reventillation HT / TVA.",
ROUND(IFERROR(VALUE(TRIM(SUBSTITUTE(BG71,CHAR(160),""))),0),2)&gt;
ROUND(IFERROR(VALUE(TRIM(SUBSTITUTE(AA71,CHAR(160),""))),0),2),
"Attention : Le montant TVA retenu est supérieur au montant TVA présenté. Merci de revoir la ligne de dépense, plafonner son montant, ou justifier la reventillation HT / TVA.",
ROUND(IFERROR(VALUE(TRIM(SUBSTITUTE(AB71,CHAR(160),""))),0),2)=0,
"",
ROUND(IFERROR(VALUE(TRIM(SUBSTITUTE(BH71,CHAR(160),""))),0),2)=
ROUND(IFERROR(VALUE(TRIM(SUBSTITUTE(AB71,CHAR(160),""))),0),2),
"OK",
ROUND(IFERROR(VALUE(TRIM(SUBSTITUTE(BH71,CHAR(160),""))),0),2)=0,
"Attention : Montant présenté entièrement rejeté.",
ROUND(IFERROR(VALUE(TRIM(SUBSTITUTE(BH71,CHAR(160),""))),0),2)&lt;
ROUND(IFERROR(VALUE(TRIM(SUBSTITUTE(AB71,CHAR(160),""))),0),2),
"Attention : Montant présenté partiellement rejeté.",
TRUE,""
))</f>
        <v/>
      </c>
      <c r="BL71" s="773" t="str">
        <f t="shared" si="88"/>
        <v/>
      </c>
      <c r="BM71" s="773" t="str">
        <f t="shared" si="89"/>
        <v/>
      </c>
      <c r="BN71" s="773" t="str">
        <f t="shared" si="90"/>
        <v/>
      </c>
    </row>
    <row r="72" spans="1:66" ht="15" customHeight="1">
      <c r="A72" s="193">
        <v>68</v>
      </c>
      <c r="B72" s="7"/>
      <c r="C72" s="9"/>
      <c r="D72" s="30"/>
      <c r="E72" s="36"/>
      <c r="F72" s="34"/>
      <c r="G72" s="35"/>
      <c r="H72" s="685"/>
      <c r="I72" s="786"/>
      <c r="J72" s="792"/>
      <c r="K72" s="758"/>
      <c r="L72" s="761"/>
      <c r="M72" s="762"/>
      <c r="N72" s="808" t="str">
        <f t="shared" si="61"/>
        <v/>
      </c>
      <c r="O72" s="846"/>
      <c r="P72" s="847"/>
      <c r="Q72" s="762"/>
      <c r="R72" s="762"/>
      <c r="S72" s="808" t="str">
        <f t="shared" si="62"/>
        <v/>
      </c>
      <c r="T72" s="850"/>
      <c r="U72" s="847"/>
      <c r="V72" s="762"/>
      <c r="W72" s="762"/>
      <c r="X72" s="830" t="str">
        <f t="shared" si="63"/>
        <v/>
      </c>
      <c r="Y72" s="246"/>
      <c r="Z72" s="284" t="str" cm="1">
        <f t="array" ref="Z72">IF((_xlfn.IFS(TRIM(SUBSTITUTE(Y72,CHAR(160),""))="Devis 1",IFERROR(VALUE(TRIM(SUBSTITUTE(L72,CHAR(160),""))),0),TRIM(SUBSTITUTE(Y72,CHAR(160),""))="Devis 2",IFERROR(VALUE(TRIM(SUBSTITUTE(Q72,CHAR(160),""))),0),TRIM(SUBSTITUTE(Y72,CHAR(160),""))="Devis 3",IFERROR(VALUE(TRIM(SUBSTITUTE(V72,CHAR(160),""))),0),TRUE,0)*IFERROR(VALUE(TRIM(SUBSTITUTE(C72,CHAR(160),""))),0))=0,"",_xlfn.IFS(TRIM(SUBSTITUTE(Y72,CHAR(160),""))="Devis 1",IFERROR(VALUE(TRIM(SUBSTITUTE(L72,CHAR(160),""))),0),TRIM(SUBSTITUTE(Y72,CHAR(160),""))="Devis 2",IFERROR(VALUE(TRIM(SUBSTITUTE(Q72,CHAR(160),""))),0),TRIM(SUBSTITUTE(Y72,CHAR(160),""))="Devis 3",IFERROR(VALUE(TRIM(SUBSTITUTE(V72,CHAR(160),""))),0),TRUE,0)*IFERROR(VALUE(TRIM(SUBSTITUTE(C72,CHAR(160),""))),0))</f>
        <v/>
      </c>
      <c r="AA72" s="275" t="str" cm="1">
        <f t="array" ref="AA72">IF((_xlfn.IFS(TRIM(SUBSTITUTE(Y72,CHAR(160),""))="Devis 1",IFERROR(VALUE(TRIM(SUBSTITUTE(M72,CHAR(160),""))),0),TRIM(SUBSTITUTE(Y72,CHAR(160),""))="Devis 2",IFERROR(VALUE(TRIM(SUBSTITUTE(R72,CHAR(160),""))),0),TRIM(SUBSTITUTE(Y72,CHAR(160),""))="Devis 3",IFERROR(VALUE(TRIM(SUBSTITUTE(W72,CHAR(160),""))),0),TRUE,0)*IFERROR(VALUE(TRIM(SUBSTITUTE(C72,CHAR(160),""))),0))=0,IF(Z72&lt;&gt;"",0,""),_xlfn.IFS(TRIM(SUBSTITUTE(Y72,CHAR(160),""))="Devis 1",IFERROR(VALUE(TRIM(SUBSTITUTE(M72,CHAR(160),""))),0),TRIM(SUBSTITUTE(Y72,CHAR(160),""))="Devis 2",IFERROR(VALUE(TRIM(SUBSTITUTE(R72,CHAR(160),""))),0),TRIM(SUBSTITUTE(Y72,CHAR(160),""))="Devis 3",IFERROR(VALUE(TRIM(SUBSTITUTE(W72,CHAR(160),""))),0),TRUE,0)*IFERROR(VALUE(TRIM(SUBSTITUTE(C72,CHAR(160),""))),0))</f>
        <v/>
      </c>
      <c r="AB72" s="285" t="str">
        <f t="shared" si="64"/>
        <v/>
      </c>
      <c r="AC72" s="209"/>
      <c r="AD72" s="747" t="str">
        <f t="shared" si="56"/>
        <v/>
      </c>
      <c r="AE72" s="747" t="str">
        <f t="shared" si="57"/>
        <v/>
      </c>
      <c r="AF72" s="747" t="str">
        <f t="shared" si="58"/>
        <v/>
      </c>
      <c r="AG72" s="747" t="str">
        <f t="shared" si="59"/>
        <v/>
      </c>
      <c r="AH72" s="747" t="str">
        <f t="shared" si="60"/>
        <v/>
      </c>
      <c r="AI72" s="747" t="str">
        <f t="shared" si="65"/>
        <v/>
      </c>
      <c r="AJ72" s="747" t="str">
        <f t="shared" si="66"/>
        <v/>
      </c>
      <c r="AK72" s="776" t="str">
        <f t="shared" si="67"/>
        <v/>
      </c>
      <c r="AL72" s="802" t="str">
        <f t="shared" si="68"/>
        <v/>
      </c>
      <c r="AM72" s="747" t="str">
        <f t="shared" si="69"/>
        <v/>
      </c>
      <c r="AN72" s="771" t="str">
        <f t="shared" si="70"/>
        <v/>
      </c>
      <c r="AO72" s="771" t="str">
        <f t="shared" si="71"/>
        <v/>
      </c>
      <c r="AP72" s="808" t="str">
        <f t="shared" si="72"/>
        <v/>
      </c>
      <c r="AQ72" s="819" t="str">
        <f t="shared" si="73"/>
        <v/>
      </c>
      <c r="AR72" s="771" t="str">
        <f t="shared" si="74"/>
        <v/>
      </c>
      <c r="AS72" s="771" t="str">
        <f t="shared" si="75"/>
        <v/>
      </c>
      <c r="AT72" s="771" t="str">
        <f t="shared" si="76"/>
        <v/>
      </c>
      <c r="AU72" s="808" t="str">
        <f t="shared" si="77"/>
        <v/>
      </c>
      <c r="AV72" s="842" t="str">
        <f t="shared" si="78"/>
        <v/>
      </c>
      <c r="AW72" s="771" t="str">
        <f t="shared" si="79"/>
        <v/>
      </c>
      <c r="AX72" s="771" t="str">
        <f t="shared" si="80"/>
        <v/>
      </c>
      <c r="AY72" s="771" t="str">
        <f t="shared" si="81"/>
        <v/>
      </c>
      <c r="AZ72" s="831" t="str">
        <f t="shared" si="82"/>
        <v/>
      </c>
      <c r="BA72" s="835" t="str">
        <f t="shared" si="83"/>
        <v/>
      </c>
      <c r="BB72" s="772"/>
      <c r="BC72" s="275" t="str">
        <f t="shared" si="84"/>
        <v/>
      </c>
      <c r="BD72" s="275" t="str">
        <f t="shared" si="85"/>
        <v/>
      </c>
      <c r="BE72" s="886" t="str">
        <f t="shared" si="86"/>
        <v/>
      </c>
      <c r="BF72" s="873" t="str" cm="1">
        <f t="array" ref="BF72">IF($AE72="","",
_xlfn.IFS(
$BA72="Devis 1",
IF(ISBLANK(AN72),"",IFERROR(VALUE(TRIM(SUBSTITUTE(AN72,CHAR(160),""))),0)*IFERROR(VALUE(TRIM(SUBSTITUTE($AE72,CHAR(160),""))),0)),
$BA72="Devis 2",
IF(ISBLANK(AS72),"",IFERROR(VALUE(TRIM(SUBSTITUTE(AS72,CHAR(160),""))),0)*IFERROR(VALUE(TRIM(SUBSTITUTE($AE72,CHAR(160),""))),0)),
$BA72="Devis 3",
IF(ISBLANK(AX72),"",IFERROR(VALUE(TRIM(SUBSTITUTE(AX72,CHAR(160),""))),0)*IFERROR(VALUE(TRIM(SUBSTITUTE($AE72,CHAR(160),""))),0)),
TRUE,0
)
)</f>
        <v/>
      </c>
      <c r="BG72" s="873" t="str" cm="1">
        <f t="array" ref="BG72">IF($AE72="","",
_xlfn.IFS(
$BA72="Devis 1",
IF(ISBLANK(AO72),"",IFERROR(VALUE(TRIM(SUBSTITUTE(AO72,CHAR(160),""))),0)*IFERROR(VALUE(TRIM(SUBSTITUTE($AE72,CHAR(160),""))),0)),
$BA72="Devis 2",
IF(ISBLANK(AT72),"",IFERROR(VALUE(TRIM(SUBSTITUTE(AT72,CHAR(160),""))),0)*IFERROR(VALUE(TRIM(SUBSTITUTE($AE72,CHAR(160),""))),0)),
$BA72="Devis 3",
IF(ISBLANK(AY72),"",IFERROR(VALUE(TRIM(SUBSTITUTE(AY72,CHAR(160),""))),0)*IFERROR(VALUE(TRIM(SUBSTITUTE($AE72,CHAR(160),""))),0)),
TRUE,0
)
)</f>
        <v/>
      </c>
      <c r="BH72" s="874" t="str">
        <f t="shared" si="87"/>
        <v/>
      </c>
      <c r="BI72" s="866"/>
      <c r="BJ72" s="774" t="str" cm="1">
        <f t="array" ref="BJ72">IF(OR(BH72="",BE72="",BF72="",BC72="",BG72="",BD72=""),"",_xlfn.IFS(
ROUND(IFERROR(VALUE(TRIM(SUBSTITUTE(BH72,CHAR(160),""))),0),2)&gt;
ROUND(IFERROR(VALUE(TRIM(SUBSTITUTE(BE72,CHAR(160),""))),0),2),
"KO : Le montant retenu TTC est supérieur au montant raisonnable TTC. Merci de revoir la ligne de dépense ou plafonner son montant.",
ROUND(IFERROR(VALUE(TRIM(SUBSTITUTE(BF72,CHAR(160),""))),0),2)&gt;
ROUND(IFERROR(VALUE(TRIM(SUBSTITUTE(BC72,CHAR(160),""))),0),2),
"Attention : Le montant retenu HT est supérieur au montant HT raisonnable. Merci de revoir la ligne de dépense, plafonner son montant, ou justifier la reventillation HT / TVA.",
ROUND(IFERROR(VALUE(TRIM(SUBSTITUTE(BG72,CHAR(160),""))),0),2)&gt;
ROUND(IFERROR(VALUE(TRIM(SUBSTITUTE(BD72,CHAR(160),""))),0),2),
"Attention : Le montant TVA retenu est supérieur au montant TVA raisonnable. Merci de revoir la ligne de dépense, plafonner son montant, ou justifier la reventillation HT / TVA.",
ROUND(IFERROR(VALUE(TRIM(SUBSTITUTE(BH72,CHAR(160),""))),0),2)&gt;
ROUND(IFERROR(VALUE(TRIM(SUBSTITUTE(MIN(N72,S72,X72),CHAR(160),""))),0),2),
"Attention : Le devis retenu n'est pas le moins cher. Une justification de la part du porteur est nécessaire.",
ROUND(IFERROR(VALUE(TRIM(SUBSTITUTE(BH72,CHAR(160),""))),0),2)=0,
"Attention : montant présenté entièrement écarté",
ROUND(IFERROR(VALUE(TRIM(SUBSTITUTE(BE72,CHAR(160),""))),0),2)=
ROUND(IFERROR(VALUE(TRIM(SUBSTITUTE(BH72,CHAR(160),""))),0),2),
"OK",
ROUND(IFERROR(VALUE(TRIM(SUBSTITUTE(BE72,CHAR(160),""))),0),2)&gt;
ROUND(IFERROR(VALUE(TRIM(SUBSTITUTE(BH72,CHAR(160),""))),0),2),
" OK : Montant instruit inférieur au montant raisonnable.",
TRUE,""
))</f>
        <v/>
      </c>
      <c r="BK72" s="774" t="str" cm="1">
        <f t="array" ref="BK72">IF(OR(BH72="",AB72="",BF72="",Z72="",BG72="",AA72=""),"",_xlfn.IFS(
ROUND(IFERROR(VALUE(TRIM(SUBSTITUTE(BH72,CHAR(160),""))),0),2)&gt;
ROUND(IFERROR(VALUE(TRIM(SUBSTITUTE(AB72,CHAR(160),""))),0),2),
"KO : Le montant retenu TTC est supérieur au montant présenté TTC. Merci de revoir la ligne de dépense ou plafonner son montant.",
ROUND(IFERROR(VALUE(TRIM(SUBSTITUTE(BF72,CHAR(160),""))),0),2)&gt;
ROUND(IFERROR(VALUE(TRIM(SUBSTITUTE(Z72,CHAR(160),""))),0),2),
"Attention : Le montant retenu HT est supérieur au montant HT présenté. Merci de revoir la ligne de dépense, plafonner son montant, ou justifier la reventillation HT / TVA.",
ROUND(IFERROR(VALUE(TRIM(SUBSTITUTE(BG72,CHAR(160),""))),0),2)&gt;
ROUND(IFERROR(VALUE(TRIM(SUBSTITUTE(AA72,CHAR(160),""))),0),2),
"Attention : Le montant TVA retenu est supérieur au montant TVA présenté. Merci de revoir la ligne de dépense, plafonner son montant, ou justifier la reventillation HT / TVA.",
ROUND(IFERROR(VALUE(TRIM(SUBSTITUTE(AB72,CHAR(160),""))),0),2)=0,
"",
ROUND(IFERROR(VALUE(TRIM(SUBSTITUTE(BH72,CHAR(160),""))),0),2)=
ROUND(IFERROR(VALUE(TRIM(SUBSTITUTE(AB72,CHAR(160),""))),0),2),
"OK",
ROUND(IFERROR(VALUE(TRIM(SUBSTITUTE(BH72,CHAR(160),""))),0),2)=0,
"Attention : Montant présenté entièrement rejeté.",
ROUND(IFERROR(VALUE(TRIM(SUBSTITUTE(BH72,CHAR(160),""))),0),2)&lt;
ROUND(IFERROR(VALUE(TRIM(SUBSTITUTE(AB72,CHAR(160),""))),0),2),
"Attention : Montant présenté partiellement rejeté.",
TRUE,""
))</f>
        <v/>
      </c>
      <c r="BL72" s="773" t="str">
        <f t="shared" si="88"/>
        <v/>
      </c>
      <c r="BM72" s="773" t="str">
        <f t="shared" si="89"/>
        <v/>
      </c>
      <c r="BN72" s="773" t="str">
        <f t="shared" si="90"/>
        <v/>
      </c>
    </row>
    <row r="73" spans="1:66" ht="15" customHeight="1">
      <c r="A73" s="193">
        <v>69</v>
      </c>
      <c r="B73" s="7"/>
      <c r="C73" s="9"/>
      <c r="D73" s="30"/>
      <c r="E73" s="36"/>
      <c r="F73" s="34"/>
      <c r="G73" s="35"/>
      <c r="H73" s="685"/>
      <c r="I73" s="786"/>
      <c r="J73" s="792"/>
      <c r="K73" s="758"/>
      <c r="L73" s="761"/>
      <c r="M73" s="762"/>
      <c r="N73" s="808" t="str">
        <f t="shared" si="61"/>
        <v/>
      </c>
      <c r="O73" s="846"/>
      <c r="P73" s="847"/>
      <c r="Q73" s="762"/>
      <c r="R73" s="762"/>
      <c r="S73" s="808" t="str">
        <f t="shared" si="62"/>
        <v/>
      </c>
      <c r="T73" s="850"/>
      <c r="U73" s="847"/>
      <c r="V73" s="762"/>
      <c r="W73" s="762"/>
      <c r="X73" s="830" t="str">
        <f t="shared" si="63"/>
        <v/>
      </c>
      <c r="Y73" s="246"/>
      <c r="Z73" s="284" t="str" cm="1">
        <f t="array" ref="Z73">IF((_xlfn.IFS(TRIM(SUBSTITUTE(Y73,CHAR(160),""))="Devis 1",IFERROR(VALUE(TRIM(SUBSTITUTE(L73,CHAR(160),""))),0),TRIM(SUBSTITUTE(Y73,CHAR(160),""))="Devis 2",IFERROR(VALUE(TRIM(SUBSTITUTE(Q73,CHAR(160),""))),0),TRIM(SUBSTITUTE(Y73,CHAR(160),""))="Devis 3",IFERROR(VALUE(TRIM(SUBSTITUTE(V73,CHAR(160),""))),0),TRUE,0)*IFERROR(VALUE(TRIM(SUBSTITUTE(C73,CHAR(160),""))),0))=0,"",_xlfn.IFS(TRIM(SUBSTITUTE(Y73,CHAR(160),""))="Devis 1",IFERROR(VALUE(TRIM(SUBSTITUTE(L73,CHAR(160),""))),0),TRIM(SUBSTITUTE(Y73,CHAR(160),""))="Devis 2",IFERROR(VALUE(TRIM(SUBSTITUTE(Q73,CHAR(160),""))),0),TRIM(SUBSTITUTE(Y73,CHAR(160),""))="Devis 3",IFERROR(VALUE(TRIM(SUBSTITUTE(V73,CHAR(160),""))),0),TRUE,0)*IFERROR(VALUE(TRIM(SUBSTITUTE(C73,CHAR(160),""))),0))</f>
        <v/>
      </c>
      <c r="AA73" s="275" t="str" cm="1">
        <f t="array" ref="AA73">IF((_xlfn.IFS(TRIM(SUBSTITUTE(Y73,CHAR(160),""))="Devis 1",IFERROR(VALUE(TRIM(SUBSTITUTE(M73,CHAR(160),""))),0),TRIM(SUBSTITUTE(Y73,CHAR(160),""))="Devis 2",IFERROR(VALUE(TRIM(SUBSTITUTE(R73,CHAR(160),""))),0),TRIM(SUBSTITUTE(Y73,CHAR(160),""))="Devis 3",IFERROR(VALUE(TRIM(SUBSTITUTE(W73,CHAR(160),""))),0),TRUE,0)*IFERROR(VALUE(TRIM(SUBSTITUTE(C73,CHAR(160),""))),0))=0,IF(Z73&lt;&gt;"",0,""),_xlfn.IFS(TRIM(SUBSTITUTE(Y73,CHAR(160),""))="Devis 1",IFERROR(VALUE(TRIM(SUBSTITUTE(M73,CHAR(160),""))),0),TRIM(SUBSTITUTE(Y73,CHAR(160),""))="Devis 2",IFERROR(VALUE(TRIM(SUBSTITUTE(R73,CHAR(160),""))),0),TRIM(SUBSTITUTE(Y73,CHAR(160),""))="Devis 3",IFERROR(VALUE(TRIM(SUBSTITUTE(W73,CHAR(160),""))),0),TRUE,0)*IFERROR(VALUE(TRIM(SUBSTITUTE(C73,CHAR(160),""))),0))</f>
        <v/>
      </c>
      <c r="AB73" s="285" t="str">
        <f t="shared" si="64"/>
        <v/>
      </c>
      <c r="AC73" s="209"/>
      <c r="AD73" s="747" t="str">
        <f t="shared" si="56"/>
        <v/>
      </c>
      <c r="AE73" s="747" t="str">
        <f t="shared" si="57"/>
        <v/>
      </c>
      <c r="AF73" s="747" t="str">
        <f t="shared" si="58"/>
        <v/>
      </c>
      <c r="AG73" s="747" t="str">
        <f t="shared" si="59"/>
        <v/>
      </c>
      <c r="AH73" s="747" t="str">
        <f t="shared" si="60"/>
        <v/>
      </c>
      <c r="AI73" s="747" t="str">
        <f t="shared" si="65"/>
        <v/>
      </c>
      <c r="AJ73" s="747" t="str">
        <f t="shared" si="66"/>
        <v/>
      </c>
      <c r="AK73" s="776" t="str">
        <f t="shared" si="67"/>
        <v/>
      </c>
      <c r="AL73" s="802" t="str">
        <f t="shared" si="68"/>
        <v/>
      </c>
      <c r="AM73" s="747" t="str">
        <f t="shared" si="69"/>
        <v/>
      </c>
      <c r="AN73" s="771" t="str">
        <f t="shared" si="70"/>
        <v/>
      </c>
      <c r="AO73" s="771" t="str">
        <f t="shared" si="71"/>
        <v/>
      </c>
      <c r="AP73" s="808" t="str">
        <f t="shared" si="72"/>
        <v/>
      </c>
      <c r="AQ73" s="819" t="str">
        <f t="shared" si="73"/>
        <v/>
      </c>
      <c r="AR73" s="771" t="str">
        <f t="shared" si="74"/>
        <v/>
      </c>
      <c r="AS73" s="771" t="str">
        <f t="shared" si="75"/>
        <v/>
      </c>
      <c r="AT73" s="771" t="str">
        <f t="shared" si="76"/>
        <v/>
      </c>
      <c r="AU73" s="808" t="str">
        <f t="shared" si="77"/>
        <v/>
      </c>
      <c r="AV73" s="842" t="str">
        <f t="shared" si="78"/>
        <v/>
      </c>
      <c r="AW73" s="771" t="str">
        <f t="shared" si="79"/>
        <v/>
      </c>
      <c r="AX73" s="771" t="str">
        <f t="shared" si="80"/>
        <v/>
      </c>
      <c r="AY73" s="771" t="str">
        <f t="shared" si="81"/>
        <v/>
      </c>
      <c r="AZ73" s="831" t="str">
        <f t="shared" si="82"/>
        <v/>
      </c>
      <c r="BA73" s="835" t="str">
        <f t="shared" si="83"/>
        <v/>
      </c>
      <c r="BB73" s="772"/>
      <c r="BC73" s="275" t="str">
        <f t="shared" si="84"/>
        <v/>
      </c>
      <c r="BD73" s="275" t="str">
        <f t="shared" si="85"/>
        <v/>
      </c>
      <c r="BE73" s="886" t="str">
        <f t="shared" si="86"/>
        <v/>
      </c>
      <c r="BF73" s="873" t="str" cm="1">
        <f t="array" ref="BF73">IF($AE73="","",
_xlfn.IFS(
$BA73="Devis 1",
IF(ISBLANK(AN73),"",IFERROR(VALUE(TRIM(SUBSTITUTE(AN73,CHAR(160),""))),0)*IFERROR(VALUE(TRIM(SUBSTITUTE($AE73,CHAR(160),""))),0)),
$BA73="Devis 2",
IF(ISBLANK(AS73),"",IFERROR(VALUE(TRIM(SUBSTITUTE(AS73,CHAR(160),""))),0)*IFERROR(VALUE(TRIM(SUBSTITUTE($AE73,CHAR(160),""))),0)),
$BA73="Devis 3",
IF(ISBLANK(AX73),"",IFERROR(VALUE(TRIM(SUBSTITUTE(AX73,CHAR(160),""))),0)*IFERROR(VALUE(TRIM(SUBSTITUTE($AE73,CHAR(160),""))),0)),
TRUE,0
)
)</f>
        <v/>
      </c>
      <c r="BG73" s="873" t="str" cm="1">
        <f t="array" ref="BG73">IF($AE73="","",
_xlfn.IFS(
$BA73="Devis 1",
IF(ISBLANK(AO73),"",IFERROR(VALUE(TRIM(SUBSTITUTE(AO73,CHAR(160),""))),0)*IFERROR(VALUE(TRIM(SUBSTITUTE($AE73,CHAR(160),""))),0)),
$BA73="Devis 2",
IF(ISBLANK(AT73),"",IFERROR(VALUE(TRIM(SUBSTITUTE(AT73,CHAR(160),""))),0)*IFERROR(VALUE(TRIM(SUBSTITUTE($AE73,CHAR(160),""))),0)),
$BA73="Devis 3",
IF(ISBLANK(AY73),"",IFERROR(VALUE(TRIM(SUBSTITUTE(AY73,CHAR(160),""))),0)*IFERROR(VALUE(TRIM(SUBSTITUTE($AE73,CHAR(160),""))),0)),
TRUE,0
)
)</f>
        <v/>
      </c>
      <c r="BH73" s="874" t="str">
        <f t="shared" si="87"/>
        <v/>
      </c>
      <c r="BI73" s="866"/>
      <c r="BJ73" s="774" t="str" cm="1">
        <f t="array" ref="BJ73">IF(OR(BH73="",BE73="",BF73="",BC73="",BG73="",BD73=""),"",_xlfn.IFS(
ROUND(IFERROR(VALUE(TRIM(SUBSTITUTE(BH73,CHAR(160),""))),0),2)&gt;
ROUND(IFERROR(VALUE(TRIM(SUBSTITUTE(BE73,CHAR(160),""))),0),2),
"KO : Le montant retenu TTC est supérieur au montant raisonnable TTC. Merci de revoir la ligne de dépense ou plafonner son montant.",
ROUND(IFERROR(VALUE(TRIM(SUBSTITUTE(BF73,CHAR(160),""))),0),2)&gt;
ROUND(IFERROR(VALUE(TRIM(SUBSTITUTE(BC73,CHAR(160),""))),0),2),
"Attention : Le montant retenu HT est supérieur au montant HT raisonnable. Merci de revoir la ligne de dépense, plafonner son montant, ou justifier la reventillation HT / TVA.",
ROUND(IFERROR(VALUE(TRIM(SUBSTITUTE(BG73,CHAR(160),""))),0),2)&gt;
ROUND(IFERROR(VALUE(TRIM(SUBSTITUTE(BD73,CHAR(160),""))),0),2),
"Attention : Le montant TVA retenu est supérieur au montant TVA raisonnable. Merci de revoir la ligne de dépense, plafonner son montant, ou justifier la reventillation HT / TVA.",
ROUND(IFERROR(VALUE(TRIM(SUBSTITUTE(BH73,CHAR(160),""))),0),2)&gt;
ROUND(IFERROR(VALUE(TRIM(SUBSTITUTE(MIN(N73,S73,X73),CHAR(160),""))),0),2),
"Attention : Le devis retenu n'est pas le moins cher. Une justification de la part du porteur est nécessaire.",
ROUND(IFERROR(VALUE(TRIM(SUBSTITUTE(BH73,CHAR(160),""))),0),2)=0,
"Attention : montant présenté entièrement écarté",
ROUND(IFERROR(VALUE(TRIM(SUBSTITUTE(BE73,CHAR(160),""))),0),2)=
ROUND(IFERROR(VALUE(TRIM(SUBSTITUTE(BH73,CHAR(160),""))),0),2),
"OK",
ROUND(IFERROR(VALUE(TRIM(SUBSTITUTE(BE73,CHAR(160),""))),0),2)&gt;
ROUND(IFERROR(VALUE(TRIM(SUBSTITUTE(BH73,CHAR(160),""))),0),2),
" OK : Montant instruit inférieur au montant raisonnable.",
TRUE,""
))</f>
        <v/>
      </c>
      <c r="BK73" s="774" t="str" cm="1">
        <f t="array" ref="BK73">IF(OR(BH73="",AB73="",BF73="",Z73="",BG73="",AA73=""),"",_xlfn.IFS(
ROUND(IFERROR(VALUE(TRIM(SUBSTITUTE(BH73,CHAR(160),""))),0),2)&gt;
ROUND(IFERROR(VALUE(TRIM(SUBSTITUTE(AB73,CHAR(160),""))),0),2),
"KO : Le montant retenu TTC est supérieur au montant présenté TTC. Merci de revoir la ligne de dépense ou plafonner son montant.",
ROUND(IFERROR(VALUE(TRIM(SUBSTITUTE(BF73,CHAR(160),""))),0),2)&gt;
ROUND(IFERROR(VALUE(TRIM(SUBSTITUTE(Z73,CHAR(160),""))),0),2),
"Attention : Le montant retenu HT est supérieur au montant HT présenté. Merci de revoir la ligne de dépense, plafonner son montant, ou justifier la reventillation HT / TVA.",
ROUND(IFERROR(VALUE(TRIM(SUBSTITUTE(BG73,CHAR(160),""))),0),2)&gt;
ROUND(IFERROR(VALUE(TRIM(SUBSTITUTE(AA73,CHAR(160),""))),0),2),
"Attention : Le montant TVA retenu est supérieur au montant TVA présenté. Merci de revoir la ligne de dépense, plafonner son montant, ou justifier la reventillation HT / TVA.",
ROUND(IFERROR(VALUE(TRIM(SUBSTITUTE(AB73,CHAR(160),""))),0),2)=0,
"",
ROUND(IFERROR(VALUE(TRIM(SUBSTITUTE(BH73,CHAR(160),""))),0),2)=
ROUND(IFERROR(VALUE(TRIM(SUBSTITUTE(AB73,CHAR(160),""))),0),2),
"OK",
ROUND(IFERROR(VALUE(TRIM(SUBSTITUTE(BH73,CHAR(160),""))),0),2)=0,
"Attention : Montant présenté entièrement rejeté.",
ROUND(IFERROR(VALUE(TRIM(SUBSTITUTE(BH73,CHAR(160),""))),0),2)&lt;
ROUND(IFERROR(VALUE(TRIM(SUBSTITUTE(AB73,CHAR(160),""))),0),2),
"Attention : Montant présenté partiellement rejeté.",
TRUE,""
))</f>
        <v/>
      </c>
      <c r="BL73" s="773" t="str">
        <f t="shared" si="88"/>
        <v/>
      </c>
      <c r="BM73" s="773" t="str">
        <f t="shared" si="89"/>
        <v/>
      </c>
      <c r="BN73" s="773" t="str">
        <f t="shared" si="90"/>
        <v/>
      </c>
    </row>
    <row r="74" spans="1:66" ht="15" customHeight="1">
      <c r="A74" s="193">
        <v>70</v>
      </c>
      <c r="B74" s="7"/>
      <c r="C74" s="9"/>
      <c r="D74" s="30"/>
      <c r="E74" s="36"/>
      <c r="F74" s="34"/>
      <c r="G74" s="35"/>
      <c r="H74" s="685"/>
      <c r="I74" s="786"/>
      <c r="J74" s="792"/>
      <c r="K74" s="758"/>
      <c r="L74" s="761"/>
      <c r="M74" s="762"/>
      <c r="N74" s="808" t="str">
        <f t="shared" si="61"/>
        <v/>
      </c>
      <c r="O74" s="846"/>
      <c r="P74" s="847"/>
      <c r="Q74" s="762"/>
      <c r="R74" s="762"/>
      <c r="S74" s="808" t="str">
        <f t="shared" si="62"/>
        <v/>
      </c>
      <c r="T74" s="850"/>
      <c r="U74" s="847"/>
      <c r="V74" s="762"/>
      <c r="W74" s="762"/>
      <c r="X74" s="830" t="str">
        <f t="shared" si="63"/>
        <v/>
      </c>
      <c r="Y74" s="246"/>
      <c r="Z74" s="284" t="str" cm="1">
        <f t="array" ref="Z74">IF((_xlfn.IFS(TRIM(SUBSTITUTE(Y74,CHAR(160),""))="Devis 1",IFERROR(VALUE(TRIM(SUBSTITUTE(L74,CHAR(160),""))),0),TRIM(SUBSTITUTE(Y74,CHAR(160),""))="Devis 2",IFERROR(VALUE(TRIM(SUBSTITUTE(Q74,CHAR(160),""))),0),TRIM(SUBSTITUTE(Y74,CHAR(160),""))="Devis 3",IFERROR(VALUE(TRIM(SUBSTITUTE(V74,CHAR(160),""))),0),TRUE,0)*IFERROR(VALUE(TRIM(SUBSTITUTE(C74,CHAR(160),""))),0))=0,"",_xlfn.IFS(TRIM(SUBSTITUTE(Y74,CHAR(160),""))="Devis 1",IFERROR(VALUE(TRIM(SUBSTITUTE(L74,CHAR(160),""))),0),TRIM(SUBSTITUTE(Y74,CHAR(160),""))="Devis 2",IFERROR(VALUE(TRIM(SUBSTITUTE(Q74,CHAR(160),""))),0),TRIM(SUBSTITUTE(Y74,CHAR(160),""))="Devis 3",IFERROR(VALUE(TRIM(SUBSTITUTE(V74,CHAR(160),""))),0),TRUE,0)*IFERROR(VALUE(TRIM(SUBSTITUTE(C74,CHAR(160),""))),0))</f>
        <v/>
      </c>
      <c r="AA74" s="275" t="str" cm="1">
        <f t="array" ref="AA74">IF((_xlfn.IFS(TRIM(SUBSTITUTE(Y74,CHAR(160),""))="Devis 1",IFERROR(VALUE(TRIM(SUBSTITUTE(M74,CHAR(160),""))),0),TRIM(SUBSTITUTE(Y74,CHAR(160),""))="Devis 2",IFERROR(VALUE(TRIM(SUBSTITUTE(R74,CHAR(160),""))),0),TRIM(SUBSTITUTE(Y74,CHAR(160),""))="Devis 3",IFERROR(VALUE(TRIM(SUBSTITUTE(W74,CHAR(160),""))),0),TRUE,0)*IFERROR(VALUE(TRIM(SUBSTITUTE(C74,CHAR(160),""))),0))=0,IF(Z74&lt;&gt;"",0,""),_xlfn.IFS(TRIM(SUBSTITUTE(Y74,CHAR(160),""))="Devis 1",IFERROR(VALUE(TRIM(SUBSTITUTE(M74,CHAR(160),""))),0),TRIM(SUBSTITUTE(Y74,CHAR(160),""))="Devis 2",IFERROR(VALUE(TRIM(SUBSTITUTE(R74,CHAR(160),""))),0),TRIM(SUBSTITUTE(Y74,CHAR(160),""))="Devis 3",IFERROR(VALUE(TRIM(SUBSTITUTE(W74,CHAR(160),""))),0),TRUE,0)*IFERROR(VALUE(TRIM(SUBSTITUTE(C74,CHAR(160),""))),0))</f>
        <v/>
      </c>
      <c r="AB74" s="285" t="str">
        <f t="shared" si="64"/>
        <v/>
      </c>
      <c r="AC74" s="209"/>
      <c r="AD74" s="747" t="str">
        <f t="shared" si="56"/>
        <v/>
      </c>
      <c r="AE74" s="747" t="str">
        <f t="shared" si="57"/>
        <v/>
      </c>
      <c r="AF74" s="747" t="str">
        <f t="shared" si="58"/>
        <v/>
      </c>
      <c r="AG74" s="747" t="str">
        <f t="shared" si="59"/>
        <v/>
      </c>
      <c r="AH74" s="747" t="str">
        <f t="shared" si="60"/>
        <v/>
      </c>
      <c r="AI74" s="747" t="str">
        <f t="shared" si="65"/>
        <v/>
      </c>
      <c r="AJ74" s="747" t="str">
        <f t="shared" si="66"/>
        <v/>
      </c>
      <c r="AK74" s="776" t="str">
        <f t="shared" si="67"/>
        <v/>
      </c>
      <c r="AL74" s="802" t="str">
        <f t="shared" si="68"/>
        <v/>
      </c>
      <c r="AM74" s="747" t="str">
        <f t="shared" si="69"/>
        <v/>
      </c>
      <c r="AN74" s="771" t="str">
        <f t="shared" si="70"/>
        <v/>
      </c>
      <c r="AO74" s="771" t="str">
        <f t="shared" si="71"/>
        <v/>
      </c>
      <c r="AP74" s="808" t="str">
        <f t="shared" si="72"/>
        <v/>
      </c>
      <c r="AQ74" s="819" t="str">
        <f t="shared" si="73"/>
        <v/>
      </c>
      <c r="AR74" s="771" t="str">
        <f t="shared" si="74"/>
        <v/>
      </c>
      <c r="AS74" s="771" t="str">
        <f t="shared" si="75"/>
        <v/>
      </c>
      <c r="AT74" s="771" t="str">
        <f t="shared" si="76"/>
        <v/>
      </c>
      <c r="AU74" s="808" t="str">
        <f t="shared" si="77"/>
        <v/>
      </c>
      <c r="AV74" s="842" t="str">
        <f t="shared" si="78"/>
        <v/>
      </c>
      <c r="AW74" s="771" t="str">
        <f t="shared" si="79"/>
        <v/>
      </c>
      <c r="AX74" s="771" t="str">
        <f t="shared" si="80"/>
        <v/>
      </c>
      <c r="AY74" s="771" t="str">
        <f t="shared" si="81"/>
        <v/>
      </c>
      <c r="AZ74" s="831" t="str">
        <f t="shared" si="82"/>
        <v/>
      </c>
      <c r="BA74" s="835" t="str">
        <f t="shared" si="83"/>
        <v/>
      </c>
      <c r="BB74" s="772"/>
      <c r="BC74" s="275" t="str">
        <f t="shared" si="84"/>
        <v/>
      </c>
      <c r="BD74" s="275" t="str">
        <f t="shared" si="85"/>
        <v/>
      </c>
      <c r="BE74" s="886" t="str">
        <f t="shared" si="86"/>
        <v/>
      </c>
      <c r="BF74" s="873" t="str" cm="1">
        <f t="array" ref="BF74">IF($AE74="","",
_xlfn.IFS(
$BA74="Devis 1",
IF(ISBLANK(AN74),"",IFERROR(VALUE(TRIM(SUBSTITUTE(AN74,CHAR(160),""))),0)*IFERROR(VALUE(TRIM(SUBSTITUTE($AE74,CHAR(160),""))),0)),
$BA74="Devis 2",
IF(ISBLANK(AS74),"",IFERROR(VALUE(TRIM(SUBSTITUTE(AS74,CHAR(160),""))),0)*IFERROR(VALUE(TRIM(SUBSTITUTE($AE74,CHAR(160),""))),0)),
$BA74="Devis 3",
IF(ISBLANK(AX74),"",IFERROR(VALUE(TRIM(SUBSTITUTE(AX74,CHAR(160),""))),0)*IFERROR(VALUE(TRIM(SUBSTITUTE($AE74,CHAR(160),""))),0)),
TRUE,0
)
)</f>
        <v/>
      </c>
      <c r="BG74" s="873" t="str" cm="1">
        <f t="array" ref="BG74">IF($AE74="","",
_xlfn.IFS(
$BA74="Devis 1",
IF(ISBLANK(AO74),"",IFERROR(VALUE(TRIM(SUBSTITUTE(AO74,CHAR(160),""))),0)*IFERROR(VALUE(TRIM(SUBSTITUTE($AE74,CHAR(160),""))),0)),
$BA74="Devis 2",
IF(ISBLANK(AT74),"",IFERROR(VALUE(TRIM(SUBSTITUTE(AT74,CHAR(160),""))),0)*IFERROR(VALUE(TRIM(SUBSTITUTE($AE74,CHAR(160),""))),0)),
$BA74="Devis 3",
IF(ISBLANK(AY74),"",IFERROR(VALUE(TRIM(SUBSTITUTE(AY74,CHAR(160),""))),0)*IFERROR(VALUE(TRIM(SUBSTITUTE($AE74,CHAR(160),""))),0)),
TRUE,0
)
)</f>
        <v/>
      </c>
      <c r="BH74" s="874" t="str">
        <f t="shared" si="87"/>
        <v/>
      </c>
      <c r="BI74" s="866"/>
      <c r="BJ74" s="774" t="str" cm="1">
        <f t="array" ref="BJ74">IF(OR(BH74="",BE74="",BF74="",BC74="",BG74="",BD74=""),"",_xlfn.IFS(
ROUND(IFERROR(VALUE(TRIM(SUBSTITUTE(BH74,CHAR(160),""))),0),2)&gt;
ROUND(IFERROR(VALUE(TRIM(SUBSTITUTE(BE74,CHAR(160),""))),0),2),
"KO : Le montant retenu TTC est supérieur au montant raisonnable TTC. Merci de revoir la ligne de dépense ou plafonner son montant.",
ROUND(IFERROR(VALUE(TRIM(SUBSTITUTE(BF74,CHAR(160),""))),0),2)&gt;
ROUND(IFERROR(VALUE(TRIM(SUBSTITUTE(BC74,CHAR(160),""))),0),2),
"Attention : Le montant retenu HT est supérieur au montant HT raisonnable. Merci de revoir la ligne de dépense, plafonner son montant, ou justifier la reventillation HT / TVA.",
ROUND(IFERROR(VALUE(TRIM(SUBSTITUTE(BG74,CHAR(160),""))),0),2)&gt;
ROUND(IFERROR(VALUE(TRIM(SUBSTITUTE(BD74,CHAR(160),""))),0),2),
"Attention : Le montant TVA retenu est supérieur au montant TVA raisonnable. Merci de revoir la ligne de dépense, plafonner son montant, ou justifier la reventillation HT / TVA.",
ROUND(IFERROR(VALUE(TRIM(SUBSTITUTE(BH74,CHAR(160),""))),0),2)&gt;
ROUND(IFERROR(VALUE(TRIM(SUBSTITUTE(MIN(N74,S74,X74),CHAR(160),""))),0),2),
"Attention : Le devis retenu n'est pas le moins cher. Une justification de la part du porteur est nécessaire.",
ROUND(IFERROR(VALUE(TRIM(SUBSTITUTE(BH74,CHAR(160),""))),0),2)=0,
"Attention : montant présenté entièrement écarté",
ROUND(IFERROR(VALUE(TRIM(SUBSTITUTE(BE74,CHAR(160),""))),0),2)=
ROUND(IFERROR(VALUE(TRIM(SUBSTITUTE(BH74,CHAR(160),""))),0),2),
"OK",
ROUND(IFERROR(VALUE(TRIM(SUBSTITUTE(BE74,CHAR(160),""))),0),2)&gt;
ROUND(IFERROR(VALUE(TRIM(SUBSTITUTE(BH74,CHAR(160),""))),0),2),
" OK : Montant instruit inférieur au montant raisonnable.",
TRUE,""
))</f>
        <v/>
      </c>
      <c r="BK74" s="774" t="str" cm="1">
        <f t="array" ref="BK74">IF(OR(BH74="",AB74="",BF74="",Z74="",BG74="",AA74=""),"",_xlfn.IFS(
ROUND(IFERROR(VALUE(TRIM(SUBSTITUTE(BH74,CHAR(160),""))),0),2)&gt;
ROUND(IFERROR(VALUE(TRIM(SUBSTITUTE(AB74,CHAR(160),""))),0),2),
"KO : Le montant retenu TTC est supérieur au montant présenté TTC. Merci de revoir la ligne de dépense ou plafonner son montant.",
ROUND(IFERROR(VALUE(TRIM(SUBSTITUTE(BF74,CHAR(160),""))),0),2)&gt;
ROUND(IFERROR(VALUE(TRIM(SUBSTITUTE(Z74,CHAR(160),""))),0),2),
"Attention : Le montant retenu HT est supérieur au montant HT présenté. Merci de revoir la ligne de dépense, plafonner son montant, ou justifier la reventillation HT / TVA.",
ROUND(IFERROR(VALUE(TRIM(SUBSTITUTE(BG74,CHAR(160),""))),0),2)&gt;
ROUND(IFERROR(VALUE(TRIM(SUBSTITUTE(AA74,CHAR(160),""))),0),2),
"Attention : Le montant TVA retenu est supérieur au montant TVA présenté. Merci de revoir la ligne de dépense, plafonner son montant, ou justifier la reventillation HT / TVA.",
ROUND(IFERROR(VALUE(TRIM(SUBSTITUTE(AB74,CHAR(160),""))),0),2)=0,
"",
ROUND(IFERROR(VALUE(TRIM(SUBSTITUTE(BH74,CHAR(160),""))),0),2)=
ROUND(IFERROR(VALUE(TRIM(SUBSTITUTE(AB74,CHAR(160),""))),0),2),
"OK",
ROUND(IFERROR(VALUE(TRIM(SUBSTITUTE(BH74,CHAR(160),""))),0),2)=0,
"Attention : Montant présenté entièrement rejeté.",
ROUND(IFERROR(VALUE(TRIM(SUBSTITUTE(BH74,CHAR(160),""))),0),2)&lt;
ROUND(IFERROR(VALUE(TRIM(SUBSTITUTE(AB74,CHAR(160),""))),0),2),
"Attention : Montant présenté partiellement rejeté.",
TRUE,""
))</f>
        <v/>
      </c>
      <c r="BL74" s="773" t="str">
        <f t="shared" si="88"/>
        <v/>
      </c>
      <c r="BM74" s="773" t="str">
        <f t="shared" si="89"/>
        <v/>
      </c>
      <c r="BN74" s="773" t="str">
        <f t="shared" si="90"/>
        <v/>
      </c>
    </row>
    <row r="75" spans="1:66" ht="15" customHeight="1">
      <c r="A75" s="193">
        <v>71</v>
      </c>
      <c r="B75" s="7"/>
      <c r="C75" s="9"/>
      <c r="D75" s="30"/>
      <c r="E75" s="36"/>
      <c r="F75" s="34"/>
      <c r="G75" s="35"/>
      <c r="H75" s="685"/>
      <c r="I75" s="786"/>
      <c r="J75" s="792"/>
      <c r="K75" s="758"/>
      <c r="L75" s="761"/>
      <c r="M75" s="762"/>
      <c r="N75" s="808" t="str">
        <f t="shared" si="61"/>
        <v/>
      </c>
      <c r="O75" s="846"/>
      <c r="P75" s="847"/>
      <c r="Q75" s="762"/>
      <c r="R75" s="762"/>
      <c r="S75" s="808" t="str">
        <f t="shared" si="62"/>
        <v/>
      </c>
      <c r="T75" s="850"/>
      <c r="U75" s="847"/>
      <c r="V75" s="762"/>
      <c r="W75" s="762"/>
      <c r="X75" s="830" t="str">
        <f t="shared" si="63"/>
        <v/>
      </c>
      <c r="Y75" s="246"/>
      <c r="Z75" s="284" t="str" cm="1">
        <f t="array" ref="Z75">IF((_xlfn.IFS(TRIM(SUBSTITUTE(Y75,CHAR(160),""))="Devis 1",IFERROR(VALUE(TRIM(SUBSTITUTE(L75,CHAR(160),""))),0),TRIM(SUBSTITUTE(Y75,CHAR(160),""))="Devis 2",IFERROR(VALUE(TRIM(SUBSTITUTE(Q75,CHAR(160),""))),0),TRIM(SUBSTITUTE(Y75,CHAR(160),""))="Devis 3",IFERROR(VALUE(TRIM(SUBSTITUTE(V75,CHAR(160),""))),0),TRUE,0)*IFERROR(VALUE(TRIM(SUBSTITUTE(C75,CHAR(160),""))),0))=0,"",_xlfn.IFS(TRIM(SUBSTITUTE(Y75,CHAR(160),""))="Devis 1",IFERROR(VALUE(TRIM(SUBSTITUTE(L75,CHAR(160),""))),0),TRIM(SUBSTITUTE(Y75,CHAR(160),""))="Devis 2",IFERROR(VALUE(TRIM(SUBSTITUTE(Q75,CHAR(160),""))),0),TRIM(SUBSTITUTE(Y75,CHAR(160),""))="Devis 3",IFERROR(VALUE(TRIM(SUBSTITUTE(V75,CHAR(160),""))),0),TRUE,0)*IFERROR(VALUE(TRIM(SUBSTITUTE(C75,CHAR(160),""))),0))</f>
        <v/>
      </c>
      <c r="AA75" s="275" t="str" cm="1">
        <f t="array" ref="AA75">IF((_xlfn.IFS(TRIM(SUBSTITUTE(Y75,CHAR(160),""))="Devis 1",IFERROR(VALUE(TRIM(SUBSTITUTE(M75,CHAR(160),""))),0),TRIM(SUBSTITUTE(Y75,CHAR(160),""))="Devis 2",IFERROR(VALUE(TRIM(SUBSTITUTE(R75,CHAR(160),""))),0),TRIM(SUBSTITUTE(Y75,CHAR(160),""))="Devis 3",IFERROR(VALUE(TRIM(SUBSTITUTE(W75,CHAR(160),""))),0),TRUE,0)*IFERROR(VALUE(TRIM(SUBSTITUTE(C75,CHAR(160),""))),0))=0,IF(Z75&lt;&gt;"",0,""),_xlfn.IFS(TRIM(SUBSTITUTE(Y75,CHAR(160),""))="Devis 1",IFERROR(VALUE(TRIM(SUBSTITUTE(M75,CHAR(160),""))),0),TRIM(SUBSTITUTE(Y75,CHAR(160),""))="Devis 2",IFERROR(VALUE(TRIM(SUBSTITUTE(R75,CHAR(160),""))),0),TRIM(SUBSTITUTE(Y75,CHAR(160),""))="Devis 3",IFERROR(VALUE(TRIM(SUBSTITUTE(W75,CHAR(160),""))),0),TRUE,0)*IFERROR(VALUE(TRIM(SUBSTITUTE(C75,CHAR(160),""))),0))</f>
        <v/>
      </c>
      <c r="AB75" s="285" t="str">
        <f t="shared" si="64"/>
        <v/>
      </c>
      <c r="AC75" s="209"/>
      <c r="AD75" s="747" t="str">
        <f t="shared" si="56"/>
        <v/>
      </c>
      <c r="AE75" s="747" t="str">
        <f t="shared" si="57"/>
        <v/>
      </c>
      <c r="AF75" s="747" t="str">
        <f t="shared" si="58"/>
        <v/>
      </c>
      <c r="AG75" s="747" t="str">
        <f t="shared" si="59"/>
        <v/>
      </c>
      <c r="AH75" s="747" t="str">
        <f t="shared" si="60"/>
        <v/>
      </c>
      <c r="AI75" s="747" t="str">
        <f t="shared" si="65"/>
        <v/>
      </c>
      <c r="AJ75" s="747" t="str">
        <f t="shared" si="66"/>
        <v/>
      </c>
      <c r="AK75" s="776" t="str">
        <f t="shared" si="67"/>
        <v/>
      </c>
      <c r="AL75" s="802" t="str">
        <f t="shared" si="68"/>
        <v/>
      </c>
      <c r="AM75" s="747" t="str">
        <f t="shared" si="69"/>
        <v/>
      </c>
      <c r="AN75" s="771" t="str">
        <f t="shared" si="70"/>
        <v/>
      </c>
      <c r="AO75" s="771" t="str">
        <f t="shared" si="71"/>
        <v/>
      </c>
      <c r="AP75" s="808" t="str">
        <f t="shared" si="72"/>
        <v/>
      </c>
      <c r="AQ75" s="819" t="str">
        <f t="shared" si="73"/>
        <v/>
      </c>
      <c r="AR75" s="771" t="str">
        <f t="shared" si="74"/>
        <v/>
      </c>
      <c r="AS75" s="771" t="str">
        <f t="shared" si="75"/>
        <v/>
      </c>
      <c r="AT75" s="771" t="str">
        <f t="shared" si="76"/>
        <v/>
      </c>
      <c r="AU75" s="808" t="str">
        <f t="shared" si="77"/>
        <v/>
      </c>
      <c r="AV75" s="842" t="str">
        <f t="shared" si="78"/>
        <v/>
      </c>
      <c r="AW75" s="771" t="str">
        <f t="shared" si="79"/>
        <v/>
      </c>
      <c r="AX75" s="771" t="str">
        <f t="shared" si="80"/>
        <v/>
      </c>
      <c r="AY75" s="771" t="str">
        <f t="shared" si="81"/>
        <v/>
      </c>
      <c r="AZ75" s="831" t="str">
        <f t="shared" si="82"/>
        <v/>
      </c>
      <c r="BA75" s="835" t="str">
        <f t="shared" si="83"/>
        <v/>
      </c>
      <c r="BB75" s="772"/>
      <c r="BC75" s="275" t="str">
        <f t="shared" si="84"/>
        <v/>
      </c>
      <c r="BD75" s="275" t="str">
        <f t="shared" si="85"/>
        <v/>
      </c>
      <c r="BE75" s="886" t="str">
        <f t="shared" si="86"/>
        <v/>
      </c>
      <c r="BF75" s="873" t="str" cm="1">
        <f t="array" ref="BF75">IF($AE75="","",
_xlfn.IFS(
$BA75="Devis 1",
IF(ISBLANK(AN75),"",IFERROR(VALUE(TRIM(SUBSTITUTE(AN75,CHAR(160),""))),0)*IFERROR(VALUE(TRIM(SUBSTITUTE($AE75,CHAR(160),""))),0)),
$BA75="Devis 2",
IF(ISBLANK(AS75),"",IFERROR(VALUE(TRIM(SUBSTITUTE(AS75,CHAR(160),""))),0)*IFERROR(VALUE(TRIM(SUBSTITUTE($AE75,CHAR(160),""))),0)),
$BA75="Devis 3",
IF(ISBLANK(AX75),"",IFERROR(VALUE(TRIM(SUBSTITUTE(AX75,CHAR(160),""))),0)*IFERROR(VALUE(TRIM(SUBSTITUTE($AE75,CHAR(160),""))),0)),
TRUE,0
)
)</f>
        <v/>
      </c>
      <c r="BG75" s="873" t="str" cm="1">
        <f t="array" ref="BG75">IF($AE75="","",
_xlfn.IFS(
$BA75="Devis 1",
IF(ISBLANK(AO75),"",IFERROR(VALUE(TRIM(SUBSTITUTE(AO75,CHAR(160),""))),0)*IFERROR(VALUE(TRIM(SUBSTITUTE($AE75,CHAR(160),""))),0)),
$BA75="Devis 2",
IF(ISBLANK(AT75),"",IFERROR(VALUE(TRIM(SUBSTITUTE(AT75,CHAR(160),""))),0)*IFERROR(VALUE(TRIM(SUBSTITUTE($AE75,CHAR(160),""))),0)),
$BA75="Devis 3",
IF(ISBLANK(AY75),"",IFERROR(VALUE(TRIM(SUBSTITUTE(AY75,CHAR(160),""))),0)*IFERROR(VALUE(TRIM(SUBSTITUTE($AE75,CHAR(160),""))),0)),
TRUE,0
)
)</f>
        <v/>
      </c>
      <c r="BH75" s="874" t="str">
        <f t="shared" si="87"/>
        <v/>
      </c>
      <c r="BI75" s="866"/>
      <c r="BJ75" s="774" t="str" cm="1">
        <f t="array" ref="BJ75">IF(OR(BH75="",BE75="",BF75="",BC75="",BG75="",BD75=""),"",_xlfn.IFS(
ROUND(IFERROR(VALUE(TRIM(SUBSTITUTE(BH75,CHAR(160),""))),0),2)&gt;
ROUND(IFERROR(VALUE(TRIM(SUBSTITUTE(BE75,CHAR(160),""))),0),2),
"KO : Le montant retenu TTC est supérieur au montant raisonnable TTC. Merci de revoir la ligne de dépense ou plafonner son montant.",
ROUND(IFERROR(VALUE(TRIM(SUBSTITUTE(BF75,CHAR(160),""))),0),2)&gt;
ROUND(IFERROR(VALUE(TRIM(SUBSTITUTE(BC75,CHAR(160),""))),0),2),
"Attention : Le montant retenu HT est supérieur au montant HT raisonnable. Merci de revoir la ligne de dépense, plafonner son montant, ou justifier la reventillation HT / TVA.",
ROUND(IFERROR(VALUE(TRIM(SUBSTITUTE(BG75,CHAR(160),""))),0),2)&gt;
ROUND(IFERROR(VALUE(TRIM(SUBSTITUTE(BD75,CHAR(160),""))),0),2),
"Attention : Le montant TVA retenu est supérieur au montant TVA raisonnable. Merci de revoir la ligne de dépense, plafonner son montant, ou justifier la reventillation HT / TVA.",
ROUND(IFERROR(VALUE(TRIM(SUBSTITUTE(BH75,CHAR(160),""))),0),2)&gt;
ROUND(IFERROR(VALUE(TRIM(SUBSTITUTE(MIN(N75,S75,X75),CHAR(160),""))),0),2),
"Attention : Le devis retenu n'est pas le moins cher. Une justification de la part du porteur est nécessaire.",
ROUND(IFERROR(VALUE(TRIM(SUBSTITUTE(BH75,CHAR(160),""))),0),2)=0,
"Attention : montant présenté entièrement écarté",
ROUND(IFERROR(VALUE(TRIM(SUBSTITUTE(BE75,CHAR(160),""))),0),2)=
ROUND(IFERROR(VALUE(TRIM(SUBSTITUTE(BH75,CHAR(160),""))),0),2),
"OK",
ROUND(IFERROR(VALUE(TRIM(SUBSTITUTE(BE75,CHAR(160),""))),0),2)&gt;
ROUND(IFERROR(VALUE(TRIM(SUBSTITUTE(BH75,CHAR(160),""))),0),2),
" OK : Montant instruit inférieur au montant raisonnable.",
TRUE,""
))</f>
        <v/>
      </c>
      <c r="BK75" s="774" t="str" cm="1">
        <f t="array" ref="BK75">IF(OR(BH75="",AB75="",BF75="",Z75="",BG75="",AA75=""),"",_xlfn.IFS(
ROUND(IFERROR(VALUE(TRIM(SUBSTITUTE(BH75,CHAR(160),""))),0),2)&gt;
ROUND(IFERROR(VALUE(TRIM(SUBSTITUTE(AB75,CHAR(160),""))),0),2),
"KO : Le montant retenu TTC est supérieur au montant présenté TTC. Merci de revoir la ligne de dépense ou plafonner son montant.",
ROUND(IFERROR(VALUE(TRIM(SUBSTITUTE(BF75,CHAR(160),""))),0),2)&gt;
ROUND(IFERROR(VALUE(TRIM(SUBSTITUTE(Z75,CHAR(160),""))),0),2),
"Attention : Le montant retenu HT est supérieur au montant HT présenté. Merci de revoir la ligne de dépense, plafonner son montant, ou justifier la reventillation HT / TVA.",
ROUND(IFERROR(VALUE(TRIM(SUBSTITUTE(BG75,CHAR(160),""))),0),2)&gt;
ROUND(IFERROR(VALUE(TRIM(SUBSTITUTE(AA75,CHAR(160),""))),0),2),
"Attention : Le montant TVA retenu est supérieur au montant TVA présenté. Merci de revoir la ligne de dépense, plafonner son montant, ou justifier la reventillation HT / TVA.",
ROUND(IFERROR(VALUE(TRIM(SUBSTITUTE(AB75,CHAR(160),""))),0),2)=0,
"",
ROUND(IFERROR(VALUE(TRIM(SUBSTITUTE(BH75,CHAR(160),""))),0),2)=
ROUND(IFERROR(VALUE(TRIM(SUBSTITUTE(AB75,CHAR(160),""))),0),2),
"OK",
ROUND(IFERROR(VALUE(TRIM(SUBSTITUTE(BH75,CHAR(160),""))),0),2)=0,
"Attention : Montant présenté entièrement rejeté.",
ROUND(IFERROR(VALUE(TRIM(SUBSTITUTE(BH75,CHAR(160),""))),0),2)&lt;
ROUND(IFERROR(VALUE(TRIM(SUBSTITUTE(AB75,CHAR(160),""))),0),2),
"Attention : Montant présenté partiellement rejeté.",
TRUE,""
))</f>
        <v/>
      </c>
      <c r="BL75" s="773" t="str">
        <f t="shared" si="88"/>
        <v/>
      </c>
      <c r="BM75" s="773" t="str">
        <f t="shared" si="89"/>
        <v/>
      </c>
      <c r="BN75" s="773" t="str">
        <f t="shared" si="90"/>
        <v/>
      </c>
    </row>
    <row r="76" spans="1:66" ht="15" customHeight="1">
      <c r="A76" s="193">
        <v>72</v>
      </c>
      <c r="B76" s="7"/>
      <c r="C76" s="9"/>
      <c r="D76" s="30"/>
      <c r="E76" s="36"/>
      <c r="F76" s="34"/>
      <c r="G76" s="35"/>
      <c r="H76" s="685"/>
      <c r="I76" s="786"/>
      <c r="J76" s="792"/>
      <c r="K76" s="758"/>
      <c r="L76" s="761"/>
      <c r="M76" s="762"/>
      <c r="N76" s="808" t="str">
        <f t="shared" si="61"/>
        <v/>
      </c>
      <c r="O76" s="846"/>
      <c r="P76" s="847"/>
      <c r="Q76" s="762"/>
      <c r="R76" s="762"/>
      <c r="S76" s="808" t="str">
        <f t="shared" si="62"/>
        <v/>
      </c>
      <c r="T76" s="850"/>
      <c r="U76" s="847"/>
      <c r="V76" s="762"/>
      <c r="W76" s="762"/>
      <c r="X76" s="830" t="str">
        <f t="shared" si="63"/>
        <v/>
      </c>
      <c r="Y76" s="246"/>
      <c r="Z76" s="284" t="str" cm="1">
        <f t="array" ref="Z76">IF((_xlfn.IFS(TRIM(SUBSTITUTE(Y76,CHAR(160),""))="Devis 1",IFERROR(VALUE(TRIM(SUBSTITUTE(L76,CHAR(160),""))),0),TRIM(SUBSTITUTE(Y76,CHAR(160),""))="Devis 2",IFERROR(VALUE(TRIM(SUBSTITUTE(Q76,CHAR(160),""))),0),TRIM(SUBSTITUTE(Y76,CHAR(160),""))="Devis 3",IFERROR(VALUE(TRIM(SUBSTITUTE(V76,CHAR(160),""))),0),TRUE,0)*IFERROR(VALUE(TRIM(SUBSTITUTE(C76,CHAR(160),""))),0))=0,"",_xlfn.IFS(TRIM(SUBSTITUTE(Y76,CHAR(160),""))="Devis 1",IFERROR(VALUE(TRIM(SUBSTITUTE(L76,CHAR(160),""))),0),TRIM(SUBSTITUTE(Y76,CHAR(160),""))="Devis 2",IFERROR(VALUE(TRIM(SUBSTITUTE(Q76,CHAR(160),""))),0),TRIM(SUBSTITUTE(Y76,CHAR(160),""))="Devis 3",IFERROR(VALUE(TRIM(SUBSTITUTE(V76,CHAR(160),""))),0),TRUE,0)*IFERROR(VALUE(TRIM(SUBSTITUTE(C76,CHAR(160),""))),0))</f>
        <v/>
      </c>
      <c r="AA76" s="275" t="str" cm="1">
        <f t="array" ref="AA76">IF((_xlfn.IFS(TRIM(SUBSTITUTE(Y76,CHAR(160),""))="Devis 1",IFERROR(VALUE(TRIM(SUBSTITUTE(M76,CHAR(160),""))),0),TRIM(SUBSTITUTE(Y76,CHAR(160),""))="Devis 2",IFERROR(VALUE(TRIM(SUBSTITUTE(R76,CHAR(160),""))),0),TRIM(SUBSTITUTE(Y76,CHAR(160),""))="Devis 3",IFERROR(VALUE(TRIM(SUBSTITUTE(W76,CHAR(160),""))),0),TRUE,0)*IFERROR(VALUE(TRIM(SUBSTITUTE(C76,CHAR(160),""))),0))=0,IF(Z76&lt;&gt;"",0,""),_xlfn.IFS(TRIM(SUBSTITUTE(Y76,CHAR(160),""))="Devis 1",IFERROR(VALUE(TRIM(SUBSTITUTE(M76,CHAR(160),""))),0),TRIM(SUBSTITUTE(Y76,CHAR(160),""))="Devis 2",IFERROR(VALUE(TRIM(SUBSTITUTE(R76,CHAR(160),""))),0),TRIM(SUBSTITUTE(Y76,CHAR(160),""))="Devis 3",IFERROR(VALUE(TRIM(SUBSTITUTE(W76,CHAR(160),""))),0),TRUE,0)*IFERROR(VALUE(TRIM(SUBSTITUTE(C76,CHAR(160),""))),0))</f>
        <v/>
      </c>
      <c r="AB76" s="285" t="str">
        <f t="shared" si="64"/>
        <v/>
      </c>
      <c r="AC76" s="209"/>
      <c r="AD76" s="747" t="str">
        <f t="shared" si="56"/>
        <v/>
      </c>
      <c r="AE76" s="747" t="str">
        <f t="shared" si="57"/>
        <v/>
      </c>
      <c r="AF76" s="747" t="str">
        <f t="shared" si="58"/>
        <v/>
      </c>
      <c r="AG76" s="747" t="str">
        <f t="shared" si="59"/>
        <v/>
      </c>
      <c r="AH76" s="747" t="str">
        <f t="shared" si="60"/>
        <v/>
      </c>
      <c r="AI76" s="747" t="str">
        <f t="shared" si="65"/>
        <v/>
      </c>
      <c r="AJ76" s="747" t="str">
        <f t="shared" si="66"/>
        <v/>
      </c>
      <c r="AK76" s="776" t="str">
        <f t="shared" si="67"/>
        <v/>
      </c>
      <c r="AL76" s="802" t="str">
        <f t="shared" si="68"/>
        <v/>
      </c>
      <c r="AM76" s="747" t="str">
        <f t="shared" si="69"/>
        <v/>
      </c>
      <c r="AN76" s="771" t="str">
        <f t="shared" si="70"/>
        <v/>
      </c>
      <c r="AO76" s="771" t="str">
        <f t="shared" si="71"/>
        <v/>
      </c>
      <c r="AP76" s="808" t="str">
        <f t="shared" si="72"/>
        <v/>
      </c>
      <c r="AQ76" s="819" t="str">
        <f t="shared" si="73"/>
        <v/>
      </c>
      <c r="AR76" s="771" t="str">
        <f t="shared" si="74"/>
        <v/>
      </c>
      <c r="AS76" s="771" t="str">
        <f t="shared" si="75"/>
        <v/>
      </c>
      <c r="AT76" s="771" t="str">
        <f t="shared" si="76"/>
        <v/>
      </c>
      <c r="AU76" s="808" t="str">
        <f t="shared" si="77"/>
        <v/>
      </c>
      <c r="AV76" s="842" t="str">
        <f t="shared" si="78"/>
        <v/>
      </c>
      <c r="AW76" s="771" t="str">
        <f t="shared" si="79"/>
        <v/>
      </c>
      <c r="AX76" s="771" t="str">
        <f t="shared" si="80"/>
        <v/>
      </c>
      <c r="AY76" s="771" t="str">
        <f t="shared" si="81"/>
        <v/>
      </c>
      <c r="AZ76" s="831" t="str">
        <f t="shared" si="82"/>
        <v/>
      </c>
      <c r="BA76" s="835" t="str">
        <f t="shared" si="83"/>
        <v/>
      </c>
      <c r="BB76" s="772"/>
      <c r="BC76" s="275" t="str">
        <f t="shared" si="84"/>
        <v/>
      </c>
      <c r="BD76" s="275" t="str">
        <f t="shared" si="85"/>
        <v/>
      </c>
      <c r="BE76" s="886" t="str">
        <f t="shared" si="86"/>
        <v/>
      </c>
      <c r="BF76" s="873" t="str" cm="1">
        <f t="array" ref="BF76">IF($AE76="","",
_xlfn.IFS(
$BA76="Devis 1",
IF(ISBLANK(AN76),"",IFERROR(VALUE(TRIM(SUBSTITUTE(AN76,CHAR(160),""))),0)*IFERROR(VALUE(TRIM(SUBSTITUTE($AE76,CHAR(160),""))),0)),
$BA76="Devis 2",
IF(ISBLANK(AS76),"",IFERROR(VALUE(TRIM(SUBSTITUTE(AS76,CHAR(160),""))),0)*IFERROR(VALUE(TRIM(SUBSTITUTE($AE76,CHAR(160),""))),0)),
$BA76="Devis 3",
IF(ISBLANK(AX76),"",IFERROR(VALUE(TRIM(SUBSTITUTE(AX76,CHAR(160),""))),0)*IFERROR(VALUE(TRIM(SUBSTITUTE($AE76,CHAR(160),""))),0)),
TRUE,0
)
)</f>
        <v/>
      </c>
      <c r="BG76" s="873" t="str" cm="1">
        <f t="array" ref="BG76">IF($AE76="","",
_xlfn.IFS(
$BA76="Devis 1",
IF(ISBLANK(AO76),"",IFERROR(VALUE(TRIM(SUBSTITUTE(AO76,CHAR(160),""))),0)*IFERROR(VALUE(TRIM(SUBSTITUTE($AE76,CHAR(160),""))),0)),
$BA76="Devis 2",
IF(ISBLANK(AT76),"",IFERROR(VALUE(TRIM(SUBSTITUTE(AT76,CHAR(160),""))),0)*IFERROR(VALUE(TRIM(SUBSTITUTE($AE76,CHAR(160),""))),0)),
$BA76="Devis 3",
IF(ISBLANK(AY76),"",IFERROR(VALUE(TRIM(SUBSTITUTE(AY76,CHAR(160),""))),0)*IFERROR(VALUE(TRIM(SUBSTITUTE($AE76,CHAR(160),""))),0)),
TRUE,0
)
)</f>
        <v/>
      </c>
      <c r="BH76" s="874" t="str">
        <f t="shared" si="87"/>
        <v/>
      </c>
      <c r="BI76" s="866"/>
      <c r="BJ76" s="774" t="str" cm="1">
        <f t="array" ref="BJ76">IF(OR(BH76="",BE76="",BF76="",BC76="",BG76="",BD76=""),"",_xlfn.IFS(
ROUND(IFERROR(VALUE(TRIM(SUBSTITUTE(BH76,CHAR(160),""))),0),2)&gt;
ROUND(IFERROR(VALUE(TRIM(SUBSTITUTE(BE76,CHAR(160),""))),0),2),
"KO : Le montant retenu TTC est supérieur au montant raisonnable TTC. Merci de revoir la ligne de dépense ou plafonner son montant.",
ROUND(IFERROR(VALUE(TRIM(SUBSTITUTE(BF76,CHAR(160),""))),0),2)&gt;
ROUND(IFERROR(VALUE(TRIM(SUBSTITUTE(BC76,CHAR(160),""))),0),2),
"Attention : Le montant retenu HT est supérieur au montant HT raisonnable. Merci de revoir la ligne de dépense, plafonner son montant, ou justifier la reventillation HT / TVA.",
ROUND(IFERROR(VALUE(TRIM(SUBSTITUTE(BG76,CHAR(160),""))),0),2)&gt;
ROUND(IFERROR(VALUE(TRIM(SUBSTITUTE(BD76,CHAR(160),""))),0),2),
"Attention : Le montant TVA retenu est supérieur au montant TVA raisonnable. Merci de revoir la ligne de dépense, plafonner son montant, ou justifier la reventillation HT / TVA.",
ROUND(IFERROR(VALUE(TRIM(SUBSTITUTE(BH76,CHAR(160),""))),0),2)&gt;
ROUND(IFERROR(VALUE(TRIM(SUBSTITUTE(MIN(N76,S76,X76),CHAR(160),""))),0),2),
"Attention : Le devis retenu n'est pas le moins cher. Une justification de la part du porteur est nécessaire.",
ROUND(IFERROR(VALUE(TRIM(SUBSTITUTE(BH76,CHAR(160),""))),0),2)=0,
"Attention : montant présenté entièrement écarté",
ROUND(IFERROR(VALUE(TRIM(SUBSTITUTE(BE76,CHAR(160),""))),0),2)=
ROUND(IFERROR(VALUE(TRIM(SUBSTITUTE(BH76,CHAR(160),""))),0),2),
"OK",
ROUND(IFERROR(VALUE(TRIM(SUBSTITUTE(BE76,CHAR(160),""))),0),2)&gt;
ROUND(IFERROR(VALUE(TRIM(SUBSTITUTE(BH76,CHAR(160),""))),0),2),
" OK : Montant instruit inférieur au montant raisonnable.",
TRUE,""
))</f>
        <v/>
      </c>
      <c r="BK76" s="774" t="str" cm="1">
        <f t="array" ref="BK76">IF(OR(BH76="",AB76="",BF76="",Z76="",BG76="",AA76=""),"",_xlfn.IFS(
ROUND(IFERROR(VALUE(TRIM(SUBSTITUTE(BH76,CHAR(160),""))),0),2)&gt;
ROUND(IFERROR(VALUE(TRIM(SUBSTITUTE(AB76,CHAR(160),""))),0),2),
"KO : Le montant retenu TTC est supérieur au montant présenté TTC. Merci de revoir la ligne de dépense ou plafonner son montant.",
ROUND(IFERROR(VALUE(TRIM(SUBSTITUTE(BF76,CHAR(160),""))),0),2)&gt;
ROUND(IFERROR(VALUE(TRIM(SUBSTITUTE(Z76,CHAR(160),""))),0),2),
"Attention : Le montant retenu HT est supérieur au montant HT présenté. Merci de revoir la ligne de dépense, plafonner son montant, ou justifier la reventillation HT / TVA.",
ROUND(IFERROR(VALUE(TRIM(SUBSTITUTE(BG76,CHAR(160),""))),0),2)&gt;
ROUND(IFERROR(VALUE(TRIM(SUBSTITUTE(AA76,CHAR(160),""))),0),2),
"Attention : Le montant TVA retenu est supérieur au montant TVA présenté. Merci de revoir la ligne de dépense, plafonner son montant, ou justifier la reventillation HT / TVA.",
ROUND(IFERROR(VALUE(TRIM(SUBSTITUTE(AB76,CHAR(160),""))),0),2)=0,
"",
ROUND(IFERROR(VALUE(TRIM(SUBSTITUTE(BH76,CHAR(160),""))),0),2)=
ROUND(IFERROR(VALUE(TRIM(SUBSTITUTE(AB76,CHAR(160),""))),0),2),
"OK",
ROUND(IFERROR(VALUE(TRIM(SUBSTITUTE(BH76,CHAR(160),""))),0),2)=0,
"Attention : Montant présenté entièrement rejeté.",
ROUND(IFERROR(VALUE(TRIM(SUBSTITUTE(BH76,CHAR(160),""))),0),2)&lt;
ROUND(IFERROR(VALUE(TRIM(SUBSTITUTE(AB76,CHAR(160),""))),0),2),
"Attention : Montant présenté partiellement rejeté.",
TRUE,""
))</f>
        <v/>
      </c>
      <c r="BL76" s="773" t="str">
        <f t="shared" si="88"/>
        <v/>
      </c>
      <c r="BM76" s="773" t="str">
        <f t="shared" si="89"/>
        <v/>
      </c>
      <c r="BN76" s="773" t="str">
        <f t="shared" si="90"/>
        <v/>
      </c>
    </row>
    <row r="77" spans="1:66" ht="15" customHeight="1">
      <c r="A77" s="193">
        <v>73</v>
      </c>
      <c r="B77" s="7"/>
      <c r="C77" s="9"/>
      <c r="D77" s="30"/>
      <c r="E77" s="36"/>
      <c r="F77" s="34"/>
      <c r="G77" s="35"/>
      <c r="H77" s="685"/>
      <c r="I77" s="786"/>
      <c r="J77" s="792"/>
      <c r="K77" s="758"/>
      <c r="L77" s="761"/>
      <c r="M77" s="762"/>
      <c r="N77" s="808" t="str">
        <f t="shared" si="61"/>
        <v/>
      </c>
      <c r="O77" s="846"/>
      <c r="P77" s="847"/>
      <c r="Q77" s="762"/>
      <c r="R77" s="762"/>
      <c r="S77" s="808" t="str">
        <f t="shared" si="62"/>
        <v/>
      </c>
      <c r="T77" s="850"/>
      <c r="U77" s="847"/>
      <c r="V77" s="762"/>
      <c r="W77" s="762"/>
      <c r="X77" s="830" t="str">
        <f t="shared" si="63"/>
        <v/>
      </c>
      <c r="Y77" s="246"/>
      <c r="Z77" s="284" t="str" cm="1">
        <f t="array" ref="Z77">IF((_xlfn.IFS(TRIM(SUBSTITUTE(Y77,CHAR(160),""))="Devis 1",IFERROR(VALUE(TRIM(SUBSTITUTE(L77,CHAR(160),""))),0),TRIM(SUBSTITUTE(Y77,CHAR(160),""))="Devis 2",IFERROR(VALUE(TRIM(SUBSTITUTE(Q77,CHAR(160),""))),0),TRIM(SUBSTITUTE(Y77,CHAR(160),""))="Devis 3",IFERROR(VALUE(TRIM(SUBSTITUTE(V77,CHAR(160),""))),0),TRUE,0)*IFERROR(VALUE(TRIM(SUBSTITUTE(C77,CHAR(160),""))),0))=0,"",_xlfn.IFS(TRIM(SUBSTITUTE(Y77,CHAR(160),""))="Devis 1",IFERROR(VALUE(TRIM(SUBSTITUTE(L77,CHAR(160),""))),0),TRIM(SUBSTITUTE(Y77,CHAR(160),""))="Devis 2",IFERROR(VALUE(TRIM(SUBSTITUTE(Q77,CHAR(160),""))),0),TRIM(SUBSTITUTE(Y77,CHAR(160),""))="Devis 3",IFERROR(VALUE(TRIM(SUBSTITUTE(V77,CHAR(160),""))),0),TRUE,0)*IFERROR(VALUE(TRIM(SUBSTITUTE(C77,CHAR(160),""))),0))</f>
        <v/>
      </c>
      <c r="AA77" s="275" t="str" cm="1">
        <f t="array" ref="AA77">IF((_xlfn.IFS(TRIM(SUBSTITUTE(Y77,CHAR(160),""))="Devis 1",IFERROR(VALUE(TRIM(SUBSTITUTE(M77,CHAR(160),""))),0),TRIM(SUBSTITUTE(Y77,CHAR(160),""))="Devis 2",IFERROR(VALUE(TRIM(SUBSTITUTE(R77,CHAR(160),""))),0),TRIM(SUBSTITUTE(Y77,CHAR(160),""))="Devis 3",IFERROR(VALUE(TRIM(SUBSTITUTE(W77,CHAR(160),""))),0),TRUE,0)*IFERROR(VALUE(TRIM(SUBSTITUTE(C77,CHAR(160),""))),0))=0,IF(Z77&lt;&gt;"",0,""),_xlfn.IFS(TRIM(SUBSTITUTE(Y77,CHAR(160),""))="Devis 1",IFERROR(VALUE(TRIM(SUBSTITUTE(M77,CHAR(160),""))),0),TRIM(SUBSTITUTE(Y77,CHAR(160),""))="Devis 2",IFERROR(VALUE(TRIM(SUBSTITUTE(R77,CHAR(160),""))),0),TRIM(SUBSTITUTE(Y77,CHAR(160),""))="Devis 3",IFERROR(VALUE(TRIM(SUBSTITUTE(W77,CHAR(160),""))),0),TRUE,0)*IFERROR(VALUE(TRIM(SUBSTITUTE(C77,CHAR(160),""))),0))</f>
        <v/>
      </c>
      <c r="AB77" s="285" t="str">
        <f t="shared" si="64"/>
        <v/>
      </c>
      <c r="AC77" s="209"/>
      <c r="AD77" s="747" t="str">
        <f t="shared" si="56"/>
        <v/>
      </c>
      <c r="AE77" s="747" t="str">
        <f t="shared" si="57"/>
        <v/>
      </c>
      <c r="AF77" s="747" t="str">
        <f t="shared" si="58"/>
        <v/>
      </c>
      <c r="AG77" s="747" t="str">
        <f t="shared" si="59"/>
        <v/>
      </c>
      <c r="AH77" s="747" t="str">
        <f t="shared" si="60"/>
        <v/>
      </c>
      <c r="AI77" s="747" t="str">
        <f t="shared" si="65"/>
        <v/>
      </c>
      <c r="AJ77" s="747" t="str">
        <f t="shared" si="66"/>
        <v/>
      </c>
      <c r="AK77" s="776" t="str">
        <f t="shared" si="67"/>
        <v/>
      </c>
      <c r="AL77" s="802" t="str">
        <f t="shared" si="68"/>
        <v/>
      </c>
      <c r="AM77" s="747" t="str">
        <f t="shared" si="69"/>
        <v/>
      </c>
      <c r="AN77" s="771" t="str">
        <f t="shared" si="70"/>
        <v/>
      </c>
      <c r="AO77" s="771" t="str">
        <f t="shared" si="71"/>
        <v/>
      </c>
      <c r="AP77" s="808" t="str">
        <f t="shared" si="72"/>
        <v/>
      </c>
      <c r="AQ77" s="819" t="str">
        <f t="shared" si="73"/>
        <v/>
      </c>
      <c r="AR77" s="771" t="str">
        <f t="shared" si="74"/>
        <v/>
      </c>
      <c r="AS77" s="771" t="str">
        <f t="shared" si="75"/>
        <v/>
      </c>
      <c r="AT77" s="771" t="str">
        <f t="shared" si="76"/>
        <v/>
      </c>
      <c r="AU77" s="808" t="str">
        <f t="shared" si="77"/>
        <v/>
      </c>
      <c r="AV77" s="842" t="str">
        <f t="shared" si="78"/>
        <v/>
      </c>
      <c r="AW77" s="771" t="str">
        <f t="shared" si="79"/>
        <v/>
      </c>
      <c r="AX77" s="771" t="str">
        <f t="shared" si="80"/>
        <v/>
      </c>
      <c r="AY77" s="771" t="str">
        <f t="shared" si="81"/>
        <v/>
      </c>
      <c r="AZ77" s="831" t="str">
        <f t="shared" si="82"/>
        <v/>
      </c>
      <c r="BA77" s="835" t="str">
        <f t="shared" si="83"/>
        <v/>
      </c>
      <c r="BB77" s="772"/>
      <c r="BC77" s="275" t="str">
        <f t="shared" si="84"/>
        <v/>
      </c>
      <c r="BD77" s="275" t="str">
        <f t="shared" si="85"/>
        <v/>
      </c>
      <c r="BE77" s="886" t="str">
        <f t="shared" si="86"/>
        <v/>
      </c>
      <c r="BF77" s="873" t="str" cm="1">
        <f t="array" ref="BF77">IF($AE77="","",
_xlfn.IFS(
$BA77="Devis 1",
IF(ISBLANK(AN77),"",IFERROR(VALUE(TRIM(SUBSTITUTE(AN77,CHAR(160),""))),0)*IFERROR(VALUE(TRIM(SUBSTITUTE($AE77,CHAR(160),""))),0)),
$BA77="Devis 2",
IF(ISBLANK(AS77),"",IFERROR(VALUE(TRIM(SUBSTITUTE(AS77,CHAR(160),""))),0)*IFERROR(VALUE(TRIM(SUBSTITUTE($AE77,CHAR(160),""))),0)),
$BA77="Devis 3",
IF(ISBLANK(AX77),"",IFERROR(VALUE(TRIM(SUBSTITUTE(AX77,CHAR(160),""))),0)*IFERROR(VALUE(TRIM(SUBSTITUTE($AE77,CHAR(160),""))),0)),
TRUE,0
)
)</f>
        <v/>
      </c>
      <c r="BG77" s="873" t="str" cm="1">
        <f t="array" ref="BG77">IF($AE77="","",
_xlfn.IFS(
$BA77="Devis 1",
IF(ISBLANK(AO77),"",IFERROR(VALUE(TRIM(SUBSTITUTE(AO77,CHAR(160),""))),0)*IFERROR(VALUE(TRIM(SUBSTITUTE($AE77,CHAR(160),""))),0)),
$BA77="Devis 2",
IF(ISBLANK(AT77),"",IFERROR(VALUE(TRIM(SUBSTITUTE(AT77,CHAR(160),""))),0)*IFERROR(VALUE(TRIM(SUBSTITUTE($AE77,CHAR(160),""))),0)),
$BA77="Devis 3",
IF(ISBLANK(AY77),"",IFERROR(VALUE(TRIM(SUBSTITUTE(AY77,CHAR(160),""))),0)*IFERROR(VALUE(TRIM(SUBSTITUTE($AE77,CHAR(160),""))),0)),
TRUE,0
)
)</f>
        <v/>
      </c>
      <c r="BH77" s="874" t="str">
        <f t="shared" si="87"/>
        <v/>
      </c>
      <c r="BI77" s="866"/>
      <c r="BJ77" s="774" t="str" cm="1">
        <f t="array" ref="BJ77">IF(OR(BH77="",BE77="",BF77="",BC77="",BG77="",BD77=""),"",_xlfn.IFS(
ROUND(IFERROR(VALUE(TRIM(SUBSTITUTE(BH77,CHAR(160),""))),0),2)&gt;
ROUND(IFERROR(VALUE(TRIM(SUBSTITUTE(BE77,CHAR(160),""))),0),2),
"KO : Le montant retenu TTC est supérieur au montant raisonnable TTC. Merci de revoir la ligne de dépense ou plafonner son montant.",
ROUND(IFERROR(VALUE(TRIM(SUBSTITUTE(BF77,CHAR(160),""))),0),2)&gt;
ROUND(IFERROR(VALUE(TRIM(SUBSTITUTE(BC77,CHAR(160),""))),0),2),
"Attention : Le montant retenu HT est supérieur au montant HT raisonnable. Merci de revoir la ligne de dépense, plafonner son montant, ou justifier la reventillation HT / TVA.",
ROUND(IFERROR(VALUE(TRIM(SUBSTITUTE(BG77,CHAR(160),""))),0),2)&gt;
ROUND(IFERROR(VALUE(TRIM(SUBSTITUTE(BD77,CHAR(160),""))),0),2),
"Attention : Le montant TVA retenu est supérieur au montant TVA raisonnable. Merci de revoir la ligne de dépense, plafonner son montant, ou justifier la reventillation HT / TVA.",
ROUND(IFERROR(VALUE(TRIM(SUBSTITUTE(BH77,CHAR(160),""))),0),2)&gt;
ROUND(IFERROR(VALUE(TRIM(SUBSTITUTE(MIN(N77,S77,X77),CHAR(160),""))),0),2),
"Attention : Le devis retenu n'est pas le moins cher. Une justification de la part du porteur est nécessaire.",
ROUND(IFERROR(VALUE(TRIM(SUBSTITUTE(BH77,CHAR(160),""))),0),2)=0,
"Attention : montant présenté entièrement écarté",
ROUND(IFERROR(VALUE(TRIM(SUBSTITUTE(BE77,CHAR(160),""))),0),2)=
ROUND(IFERROR(VALUE(TRIM(SUBSTITUTE(BH77,CHAR(160),""))),0),2),
"OK",
ROUND(IFERROR(VALUE(TRIM(SUBSTITUTE(BE77,CHAR(160),""))),0),2)&gt;
ROUND(IFERROR(VALUE(TRIM(SUBSTITUTE(BH77,CHAR(160),""))),0),2),
" OK : Montant instruit inférieur au montant raisonnable.",
TRUE,""
))</f>
        <v/>
      </c>
      <c r="BK77" s="774" t="str" cm="1">
        <f t="array" ref="BK77">IF(OR(BH77="",AB77="",BF77="",Z77="",BG77="",AA77=""),"",_xlfn.IFS(
ROUND(IFERROR(VALUE(TRIM(SUBSTITUTE(BH77,CHAR(160),""))),0),2)&gt;
ROUND(IFERROR(VALUE(TRIM(SUBSTITUTE(AB77,CHAR(160),""))),0),2),
"KO : Le montant retenu TTC est supérieur au montant présenté TTC. Merci de revoir la ligne de dépense ou plafonner son montant.",
ROUND(IFERROR(VALUE(TRIM(SUBSTITUTE(BF77,CHAR(160),""))),0),2)&gt;
ROUND(IFERROR(VALUE(TRIM(SUBSTITUTE(Z77,CHAR(160),""))),0),2),
"Attention : Le montant retenu HT est supérieur au montant HT présenté. Merci de revoir la ligne de dépense, plafonner son montant, ou justifier la reventillation HT / TVA.",
ROUND(IFERROR(VALUE(TRIM(SUBSTITUTE(BG77,CHAR(160),""))),0),2)&gt;
ROUND(IFERROR(VALUE(TRIM(SUBSTITUTE(AA77,CHAR(160),""))),0),2),
"Attention : Le montant TVA retenu est supérieur au montant TVA présenté. Merci de revoir la ligne de dépense, plafonner son montant, ou justifier la reventillation HT / TVA.",
ROUND(IFERROR(VALUE(TRIM(SUBSTITUTE(AB77,CHAR(160),""))),0),2)=0,
"",
ROUND(IFERROR(VALUE(TRIM(SUBSTITUTE(BH77,CHAR(160),""))),0),2)=
ROUND(IFERROR(VALUE(TRIM(SUBSTITUTE(AB77,CHAR(160),""))),0),2),
"OK",
ROUND(IFERROR(VALUE(TRIM(SUBSTITUTE(BH77,CHAR(160),""))),0),2)=0,
"Attention : Montant présenté entièrement rejeté.",
ROUND(IFERROR(VALUE(TRIM(SUBSTITUTE(BH77,CHAR(160),""))),0),2)&lt;
ROUND(IFERROR(VALUE(TRIM(SUBSTITUTE(AB77,CHAR(160),""))),0),2),
"Attention : Montant présenté partiellement rejeté.",
TRUE,""
))</f>
        <v/>
      </c>
      <c r="BL77" s="773" t="str">
        <f t="shared" si="88"/>
        <v/>
      </c>
      <c r="BM77" s="773" t="str">
        <f t="shared" si="89"/>
        <v/>
      </c>
      <c r="BN77" s="773" t="str">
        <f t="shared" si="90"/>
        <v/>
      </c>
    </row>
    <row r="78" spans="1:66" ht="15" customHeight="1">
      <c r="A78" s="193">
        <v>74</v>
      </c>
      <c r="B78" s="7"/>
      <c r="C78" s="9"/>
      <c r="D78" s="30"/>
      <c r="E78" s="36"/>
      <c r="F78" s="34"/>
      <c r="G78" s="35"/>
      <c r="H78" s="685"/>
      <c r="I78" s="786"/>
      <c r="J78" s="792"/>
      <c r="K78" s="758"/>
      <c r="L78" s="761"/>
      <c r="M78" s="762"/>
      <c r="N78" s="808" t="str">
        <f t="shared" si="61"/>
        <v/>
      </c>
      <c r="O78" s="846"/>
      <c r="P78" s="847"/>
      <c r="Q78" s="762"/>
      <c r="R78" s="762"/>
      <c r="S78" s="808" t="str">
        <f t="shared" si="62"/>
        <v/>
      </c>
      <c r="T78" s="850"/>
      <c r="U78" s="847"/>
      <c r="V78" s="762"/>
      <c r="W78" s="762"/>
      <c r="X78" s="830" t="str">
        <f t="shared" si="63"/>
        <v/>
      </c>
      <c r="Y78" s="246"/>
      <c r="Z78" s="284" t="str" cm="1">
        <f t="array" ref="Z78">IF((_xlfn.IFS(TRIM(SUBSTITUTE(Y78,CHAR(160),""))="Devis 1",IFERROR(VALUE(TRIM(SUBSTITUTE(L78,CHAR(160),""))),0),TRIM(SUBSTITUTE(Y78,CHAR(160),""))="Devis 2",IFERROR(VALUE(TRIM(SUBSTITUTE(Q78,CHAR(160),""))),0),TRIM(SUBSTITUTE(Y78,CHAR(160),""))="Devis 3",IFERROR(VALUE(TRIM(SUBSTITUTE(V78,CHAR(160),""))),0),TRUE,0)*IFERROR(VALUE(TRIM(SUBSTITUTE(C78,CHAR(160),""))),0))=0,"",_xlfn.IFS(TRIM(SUBSTITUTE(Y78,CHAR(160),""))="Devis 1",IFERROR(VALUE(TRIM(SUBSTITUTE(L78,CHAR(160),""))),0),TRIM(SUBSTITUTE(Y78,CHAR(160),""))="Devis 2",IFERROR(VALUE(TRIM(SUBSTITUTE(Q78,CHAR(160),""))),0),TRIM(SUBSTITUTE(Y78,CHAR(160),""))="Devis 3",IFERROR(VALUE(TRIM(SUBSTITUTE(V78,CHAR(160),""))),0),TRUE,0)*IFERROR(VALUE(TRIM(SUBSTITUTE(C78,CHAR(160),""))),0))</f>
        <v/>
      </c>
      <c r="AA78" s="275" t="str" cm="1">
        <f t="array" ref="AA78">IF((_xlfn.IFS(TRIM(SUBSTITUTE(Y78,CHAR(160),""))="Devis 1",IFERROR(VALUE(TRIM(SUBSTITUTE(M78,CHAR(160),""))),0),TRIM(SUBSTITUTE(Y78,CHAR(160),""))="Devis 2",IFERROR(VALUE(TRIM(SUBSTITUTE(R78,CHAR(160),""))),0),TRIM(SUBSTITUTE(Y78,CHAR(160),""))="Devis 3",IFERROR(VALUE(TRIM(SUBSTITUTE(W78,CHAR(160),""))),0),TRUE,0)*IFERROR(VALUE(TRIM(SUBSTITUTE(C78,CHAR(160),""))),0))=0,IF(Z78&lt;&gt;"",0,""),_xlfn.IFS(TRIM(SUBSTITUTE(Y78,CHAR(160),""))="Devis 1",IFERROR(VALUE(TRIM(SUBSTITUTE(M78,CHAR(160),""))),0),TRIM(SUBSTITUTE(Y78,CHAR(160),""))="Devis 2",IFERROR(VALUE(TRIM(SUBSTITUTE(R78,CHAR(160),""))),0),TRIM(SUBSTITUTE(Y78,CHAR(160),""))="Devis 3",IFERROR(VALUE(TRIM(SUBSTITUTE(W78,CHAR(160),""))),0),TRUE,0)*IFERROR(VALUE(TRIM(SUBSTITUTE(C78,CHAR(160),""))),0))</f>
        <v/>
      </c>
      <c r="AB78" s="285" t="str">
        <f t="shared" si="64"/>
        <v/>
      </c>
      <c r="AC78" s="209"/>
      <c r="AD78" s="747" t="str">
        <f t="shared" si="56"/>
        <v/>
      </c>
      <c r="AE78" s="747" t="str">
        <f t="shared" si="57"/>
        <v/>
      </c>
      <c r="AF78" s="747" t="str">
        <f t="shared" si="58"/>
        <v/>
      </c>
      <c r="AG78" s="747" t="str">
        <f t="shared" si="59"/>
        <v/>
      </c>
      <c r="AH78" s="747" t="str">
        <f t="shared" si="60"/>
        <v/>
      </c>
      <c r="AI78" s="747" t="str">
        <f t="shared" si="65"/>
        <v/>
      </c>
      <c r="AJ78" s="747" t="str">
        <f t="shared" si="66"/>
        <v/>
      </c>
      <c r="AK78" s="776" t="str">
        <f t="shared" si="67"/>
        <v/>
      </c>
      <c r="AL78" s="802" t="str">
        <f t="shared" si="68"/>
        <v/>
      </c>
      <c r="AM78" s="747" t="str">
        <f t="shared" si="69"/>
        <v/>
      </c>
      <c r="AN78" s="771" t="str">
        <f t="shared" si="70"/>
        <v/>
      </c>
      <c r="AO78" s="771" t="str">
        <f t="shared" si="71"/>
        <v/>
      </c>
      <c r="AP78" s="808" t="str">
        <f t="shared" si="72"/>
        <v/>
      </c>
      <c r="AQ78" s="819" t="str">
        <f t="shared" si="73"/>
        <v/>
      </c>
      <c r="AR78" s="771" t="str">
        <f t="shared" si="74"/>
        <v/>
      </c>
      <c r="AS78" s="771" t="str">
        <f t="shared" si="75"/>
        <v/>
      </c>
      <c r="AT78" s="771" t="str">
        <f t="shared" si="76"/>
        <v/>
      </c>
      <c r="AU78" s="808" t="str">
        <f t="shared" si="77"/>
        <v/>
      </c>
      <c r="AV78" s="842" t="str">
        <f t="shared" si="78"/>
        <v/>
      </c>
      <c r="AW78" s="771" t="str">
        <f t="shared" si="79"/>
        <v/>
      </c>
      <c r="AX78" s="771" t="str">
        <f t="shared" si="80"/>
        <v/>
      </c>
      <c r="AY78" s="771" t="str">
        <f t="shared" si="81"/>
        <v/>
      </c>
      <c r="AZ78" s="831" t="str">
        <f t="shared" si="82"/>
        <v/>
      </c>
      <c r="BA78" s="835" t="str">
        <f t="shared" si="83"/>
        <v/>
      </c>
      <c r="BB78" s="772"/>
      <c r="BC78" s="275" t="str">
        <f t="shared" si="84"/>
        <v/>
      </c>
      <c r="BD78" s="275" t="str">
        <f t="shared" si="85"/>
        <v/>
      </c>
      <c r="BE78" s="886" t="str">
        <f t="shared" si="86"/>
        <v/>
      </c>
      <c r="BF78" s="873" t="str" cm="1">
        <f t="array" ref="BF78">IF($AE78="","",
_xlfn.IFS(
$BA78="Devis 1",
IF(ISBLANK(AN78),"",IFERROR(VALUE(TRIM(SUBSTITUTE(AN78,CHAR(160),""))),0)*IFERROR(VALUE(TRIM(SUBSTITUTE($AE78,CHAR(160),""))),0)),
$BA78="Devis 2",
IF(ISBLANK(AS78),"",IFERROR(VALUE(TRIM(SUBSTITUTE(AS78,CHAR(160),""))),0)*IFERROR(VALUE(TRIM(SUBSTITUTE($AE78,CHAR(160),""))),0)),
$BA78="Devis 3",
IF(ISBLANK(AX78),"",IFERROR(VALUE(TRIM(SUBSTITUTE(AX78,CHAR(160),""))),0)*IFERROR(VALUE(TRIM(SUBSTITUTE($AE78,CHAR(160),""))),0)),
TRUE,0
)
)</f>
        <v/>
      </c>
      <c r="BG78" s="873" t="str" cm="1">
        <f t="array" ref="BG78">IF($AE78="","",
_xlfn.IFS(
$BA78="Devis 1",
IF(ISBLANK(AO78),"",IFERROR(VALUE(TRIM(SUBSTITUTE(AO78,CHAR(160),""))),0)*IFERROR(VALUE(TRIM(SUBSTITUTE($AE78,CHAR(160),""))),0)),
$BA78="Devis 2",
IF(ISBLANK(AT78),"",IFERROR(VALUE(TRIM(SUBSTITUTE(AT78,CHAR(160),""))),0)*IFERROR(VALUE(TRIM(SUBSTITUTE($AE78,CHAR(160),""))),0)),
$BA78="Devis 3",
IF(ISBLANK(AY78),"",IFERROR(VALUE(TRIM(SUBSTITUTE(AY78,CHAR(160),""))),0)*IFERROR(VALUE(TRIM(SUBSTITUTE($AE78,CHAR(160),""))),0)),
TRUE,0
)
)</f>
        <v/>
      </c>
      <c r="BH78" s="874" t="str">
        <f t="shared" si="87"/>
        <v/>
      </c>
      <c r="BI78" s="866"/>
      <c r="BJ78" s="774" t="str" cm="1">
        <f t="array" ref="BJ78">IF(OR(BH78="",BE78="",BF78="",BC78="",BG78="",BD78=""),"",_xlfn.IFS(
ROUND(IFERROR(VALUE(TRIM(SUBSTITUTE(BH78,CHAR(160),""))),0),2)&gt;
ROUND(IFERROR(VALUE(TRIM(SUBSTITUTE(BE78,CHAR(160),""))),0),2),
"KO : Le montant retenu TTC est supérieur au montant raisonnable TTC. Merci de revoir la ligne de dépense ou plafonner son montant.",
ROUND(IFERROR(VALUE(TRIM(SUBSTITUTE(BF78,CHAR(160),""))),0),2)&gt;
ROUND(IFERROR(VALUE(TRIM(SUBSTITUTE(BC78,CHAR(160),""))),0),2),
"Attention : Le montant retenu HT est supérieur au montant HT raisonnable. Merci de revoir la ligne de dépense, plafonner son montant, ou justifier la reventillation HT / TVA.",
ROUND(IFERROR(VALUE(TRIM(SUBSTITUTE(BG78,CHAR(160),""))),0),2)&gt;
ROUND(IFERROR(VALUE(TRIM(SUBSTITUTE(BD78,CHAR(160),""))),0),2),
"Attention : Le montant TVA retenu est supérieur au montant TVA raisonnable. Merci de revoir la ligne de dépense, plafonner son montant, ou justifier la reventillation HT / TVA.",
ROUND(IFERROR(VALUE(TRIM(SUBSTITUTE(BH78,CHAR(160),""))),0),2)&gt;
ROUND(IFERROR(VALUE(TRIM(SUBSTITUTE(MIN(N78,S78,X78),CHAR(160),""))),0),2),
"Attention : Le devis retenu n'est pas le moins cher. Une justification de la part du porteur est nécessaire.",
ROUND(IFERROR(VALUE(TRIM(SUBSTITUTE(BH78,CHAR(160),""))),0),2)=0,
"Attention : montant présenté entièrement écarté",
ROUND(IFERROR(VALUE(TRIM(SUBSTITUTE(BE78,CHAR(160),""))),0),2)=
ROUND(IFERROR(VALUE(TRIM(SUBSTITUTE(BH78,CHAR(160),""))),0),2),
"OK",
ROUND(IFERROR(VALUE(TRIM(SUBSTITUTE(BE78,CHAR(160),""))),0),2)&gt;
ROUND(IFERROR(VALUE(TRIM(SUBSTITUTE(BH78,CHAR(160),""))),0),2),
" OK : Montant instruit inférieur au montant raisonnable.",
TRUE,""
))</f>
        <v/>
      </c>
      <c r="BK78" s="774" t="str" cm="1">
        <f t="array" ref="BK78">IF(OR(BH78="",AB78="",BF78="",Z78="",BG78="",AA78=""),"",_xlfn.IFS(
ROUND(IFERROR(VALUE(TRIM(SUBSTITUTE(BH78,CHAR(160),""))),0),2)&gt;
ROUND(IFERROR(VALUE(TRIM(SUBSTITUTE(AB78,CHAR(160),""))),0),2),
"KO : Le montant retenu TTC est supérieur au montant présenté TTC. Merci de revoir la ligne de dépense ou plafonner son montant.",
ROUND(IFERROR(VALUE(TRIM(SUBSTITUTE(BF78,CHAR(160),""))),0),2)&gt;
ROUND(IFERROR(VALUE(TRIM(SUBSTITUTE(Z78,CHAR(160),""))),0),2),
"Attention : Le montant retenu HT est supérieur au montant HT présenté. Merci de revoir la ligne de dépense, plafonner son montant, ou justifier la reventillation HT / TVA.",
ROUND(IFERROR(VALUE(TRIM(SUBSTITUTE(BG78,CHAR(160),""))),0),2)&gt;
ROUND(IFERROR(VALUE(TRIM(SUBSTITUTE(AA78,CHAR(160),""))),0),2),
"Attention : Le montant TVA retenu est supérieur au montant TVA présenté. Merci de revoir la ligne de dépense, plafonner son montant, ou justifier la reventillation HT / TVA.",
ROUND(IFERROR(VALUE(TRIM(SUBSTITUTE(AB78,CHAR(160),""))),0),2)=0,
"",
ROUND(IFERROR(VALUE(TRIM(SUBSTITUTE(BH78,CHAR(160),""))),0),2)=
ROUND(IFERROR(VALUE(TRIM(SUBSTITUTE(AB78,CHAR(160),""))),0),2),
"OK",
ROUND(IFERROR(VALUE(TRIM(SUBSTITUTE(BH78,CHAR(160),""))),0),2)=0,
"Attention : Montant présenté entièrement rejeté.",
ROUND(IFERROR(VALUE(TRIM(SUBSTITUTE(BH78,CHAR(160),""))),0),2)&lt;
ROUND(IFERROR(VALUE(TRIM(SUBSTITUTE(AB78,CHAR(160),""))),0),2),
"Attention : Montant présenté partiellement rejeté.",
TRUE,""
))</f>
        <v/>
      </c>
      <c r="BL78" s="773" t="str">
        <f t="shared" si="88"/>
        <v/>
      </c>
      <c r="BM78" s="773" t="str">
        <f t="shared" si="89"/>
        <v/>
      </c>
      <c r="BN78" s="773" t="str">
        <f t="shared" si="90"/>
        <v/>
      </c>
    </row>
    <row r="79" spans="1:66" ht="15" customHeight="1">
      <c r="A79" s="193">
        <v>75</v>
      </c>
      <c r="B79" s="7"/>
      <c r="C79" s="9"/>
      <c r="D79" s="30"/>
      <c r="E79" s="36"/>
      <c r="F79" s="34"/>
      <c r="G79" s="35"/>
      <c r="H79" s="685"/>
      <c r="I79" s="786"/>
      <c r="J79" s="792"/>
      <c r="K79" s="758"/>
      <c r="L79" s="761"/>
      <c r="M79" s="762"/>
      <c r="N79" s="808" t="str">
        <f t="shared" si="61"/>
        <v/>
      </c>
      <c r="O79" s="846"/>
      <c r="P79" s="847"/>
      <c r="Q79" s="762"/>
      <c r="R79" s="762"/>
      <c r="S79" s="808" t="str">
        <f t="shared" si="62"/>
        <v/>
      </c>
      <c r="T79" s="850"/>
      <c r="U79" s="847"/>
      <c r="V79" s="762"/>
      <c r="W79" s="762"/>
      <c r="X79" s="830" t="str">
        <f t="shared" si="63"/>
        <v/>
      </c>
      <c r="Y79" s="246"/>
      <c r="Z79" s="284" t="str" cm="1">
        <f t="array" ref="Z79">IF((_xlfn.IFS(TRIM(SUBSTITUTE(Y79,CHAR(160),""))="Devis 1",IFERROR(VALUE(TRIM(SUBSTITUTE(L79,CHAR(160),""))),0),TRIM(SUBSTITUTE(Y79,CHAR(160),""))="Devis 2",IFERROR(VALUE(TRIM(SUBSTITUTE(Q79,CHAR(160),""))),0),TRIM(SUBSTITUTE(Y79,CHAR(160),""))="Devis 3",IFERROR(VALUE(TRIM(SUBSTITUTE(V79,CHAR(160),""))),0),TRUE,0)*IFERROR(VALUE(TRIM(SUBSTITUTE(C79,CHAR(160),""))),0))=0,"",_xlfn.IFS(TRIM(SUBSTITUTE(Y79,CHAR(160),""))="Devis 1",IFERROR(VALUE(TRIM(SUBSTITUTE(L79,CHAR(160),""))),0),TRIM(SUBSTITUTE(Y79,CHAR(160),""))="Devis 2",IFERROR(VALUE(TRIM(SUBSTITUTE(Q79,CHAR(160),""))),0),TRIM(SUBSTITUTE(Y79,CHAR(160),""))="Devis 3",IFERROR(VALUE(TRIM(SUBSTITUTE(V79,CHAR(160),""))),0),TRUE,0)*IFERROR(VALUE(TRIM(SUBSTITUTE(C79,CHAR(160),""))),0))</f>
        <v/>
      </c>
      <c r="AA79" s="275" t="str" cm="1">
        <f t="array" ref="AA79">IF((_xlfn.IFS(TRIM(SUBSTITUTE(Y79,CHAR(160),""))="Devis 1",IFERROR(VALUE(TRIM(SUBSTITUTE(M79,CHAR(160),""))),0),TRIM(SUBSTITUTE(Y79,CHAR(160),""))="Devis 2",IFERROR(VALUE(TRIM(SUBSTITUTE(R79,CHAR(160),""))),0),TRIM(SUBSTITUTE(Y79,CHAR(160),""))="Devis 3",IFERROR(VALUE(TRIM(SUBSTITUTE(W79,CHAR(160),""))),0),TRUE,0)*IFERROR(VALUE(TRIM(SUBSTITUTE(C79,CHAR(160),""))),0))=0,IF(Z79&lt;&gt;"",0,""),_xlfn.IFS(TRIM(SUBSTITUTE(Y79,CHAR(160),""))="Devis 1",IFERROR(VALUE(TRIM(SUBSTITUTE(M79,CHAR(160),""))),0),TRIM(SUBSTITUTE(Y79,CHAR(160),""))="Devis 2",IFERROR(VALUE(TRIM(SUBSTITUTE(R79,CHAR(160),""))),0),TRIM(SUBSTITUTE(Y79,CHAR(160),""))="Devis 3",IFERROR(VALUE(TRIM(SUBSTITUTE(W79,CHAR(160),""))),0),TRUE,0)*IFERROR(VALUE(TRIM(SUBSTITUTE(C79,CHAR(160),""))),0))</f>
        <v/>
      </c>
      <c r="AB79" s="285" t="str">
        <f t="shared" si="64"/>
        <v/>
      </c>
      <c r="AC79" s="209"/>
      <c r="AD79" s="747" t="str">
        <f t="shared" si="56"/>
        <v/>
      </c>
      <c r="AE79" s="747" t="str">
        <f t="shared" si="57"/>
        <v/>
      </c>
      <c r="AF79" s="747" t="str">
        <f t="shared" si="58"/>
        <v/>
      </c>
      <c r="AG79" s="747" t="str">
        <f t="shared" si="59"/>
        <v/>
      </c>
      <c r="AH79" s="747" t="str">
        <f t="shared" si="60"/>
        <v/>
      </c>
      <c r="AI79" s="747" t="str">
        <f t="shared" si="65"/>
        <v/>
      </c>
      <c r="AJ79" s="747" t="str">
        <f t="shared" si="66"/>
        <v/>
      </c>
      <c r="AK79" s="776" t="str">
        <f t="shared" si="67"/>
        <v/>
      </c>
      <c r="AL79" s="802" t="str">
        <f t="shared" si="68"/>
        <v/>
      </c>
      <c r="AM79" s="747" t="str">
        <f t="shared" si="69"/>
        <v/>
      </c>
      <c r="AN79" s="771" t="str">
        <f t="shared" si="70"/>
        <v/>
      </c>
      <c r="AO79" s="771" t="str">
        <f t="shared" si="71"/>
        <v/>
      </c>
      <c r="AP79" s="808" t="str">
        <f t="shared" si="72"/>
        <v/>
      </c>
      <c r="AQ79" s="819" t="str">
        <f t="shared" si="73"/>
        <v/>
      </c>
      <c r="AR79" s="771" t="str">
        <f t="shared" si="74"/>
        <v/>
      </c>
      <c r="AS79" s="771" t="str">
        <f t="shared" si="75"/>
        <v/>
      </c>
      <c r="AT79" s="771" t="str">
        <f t="shared" si="76"/>
        <v/>
      </c>
      <c r="AU79" s="808" t="str">
        <f t="shared" si="77"/>
        <v/>
      </c>
      <c r="AV79" s="842" t="str">
        <f t="shared" si="78"/>
        <v/>
      </c>
      <c r="AW79" s="771" t="str">
        <f t="shared" si="79"/>
        <v/>
      </c>
      <c r="AX79" s="771" t="str">
        <f t="shared" si="80"/>
        <v/>
      </c>
      <c r="AY79" s="771" t="str">
        <f t="shared" si="81"/>
        <v/>
      </c>
      <c r="AZ79" s="831" t="str">
        <f t="shared" si="82"/>
        <v/>
      </c>
      <c r="BA79" s="835" t="str">
        <f t="shared" si="83"/>
        <v/>
      </c>
      <c r="BB79" s="772"/>
      <c r="BC79" s="275" t="str">
        <f t="shared" si="84"/>
        <v/>
      </c>
      <c r="BD79" s="275" t="str">
        <f t="shared" si="85"/>
        <v/>
      </c>
      <c r="BE79" s="886" t="str">
        <f t="shared" si="86"/>
        <v/>
      </c>
      <c r="BF79" s="873" t="str" cm="1">
        <f t="array" ref="BF79">IF($AE79="","",
_xlfn.IFS(
$BA79="Devis 1",
IF(ISBLANK(AN79),"",IFERROR(VALUE(TRIM(SUBSTITUTE(AN79,CHAR(160),""))),0)*IFERROR(VALUE(TRIM(SUBSTITUTE($AE79,CHAR(160),""))),0)),
$BA79="Devis 2",
IF(ISBLANK(AS79),"",IFERROR(VALUE(TRIM(SUBSTITUTE(AS79,CHAR(160),""))),0)*IFERROR(VALUE(TRIM(SUBSTITUTE($AE79,CHAR(160),""))),0)),
$BA79="Devis 3",
IF(ISBLANK(AX79),"",IFERROR(VALUE(TRIM(SUBSTITUTE(AX79,CHAR(160),""))),0)*IFERROR(VALUE(TRIM(SUBSTITUTE($AE79,CHAR(160),""))),0)),
TRUE,0
)
)</f>
        <v/>
      </c>
      <c r="BG79" s="873" t="str" cm="1">
        <f t="array" ref="BG79">IF($AE79="","",
_xlfn.IFS(
$BA79="Devis 1",
IF(ISBLANK(AO79),"",IFERROR(VALUE(TRIM(SUBSTITUTE(AO79,CHAR(160),""))),0)*IFERROR(VALUE(TRIM(SUBSTITUTE($AE79,CHAR(160),""))),0)),
$BA79="Devis 2",
IF(ISBLANK(AT79),"",IFERROR(VALUE(TRIM(SUBSTITUTE(AT79,CHAR(160),""))),0)*IFERROR(VALUE(TRIM(SUBSTITUTE($AE79,CHAR(160),""))),0)),
$BA79="Devis 3",
IF(ISBLANK(AY79),"",IFERROR(VALUE(TRIM(SUBSTITUTE(AY79,CHAR(160),""))),0)*IFERROR(VALUE(TRIM(SUBSTITUTE($AE79,CHAR(160),""))),0)),
TRUE,0
)
)</f>
        <v/>
      </c>
      <c r="BH79" s="874" t="str">
        <f t="shared" si="87"/>
        <v/>
      </c>
      <c r="BI79" s="866"/>
      <c r="BJ79" s="774" t="str" cm="1">
        <f t="array" ref="BJ79">IF(OR(BH79="",BE79="",BF79="",BC79="",BG79="",BD79=""),"",_xlfn.IFS(
ROUND(IFERROR(VALUE(TRIM(SUBSTITUTE(BH79,CHAR(160),""))),0),2)&gt;
ROUND(IFERROR(VALUE(TRIM(SUBSTITUTE(BE79,CHAR(160),""))),0),2),
"KO : Le montant retenu TTC est supérieur au montant raisonnable TTC. Merci de revoir la ligne de dépense ou plafonner son montant.",
ROUND(IFERROR(VALUE(TRIM(SUBSTITUTE(BF79,CHAR(160),""))),0),2)&gt;
ROUND(IFERROR(VALUE(TRIM(SUBSTITUTE(BC79,CHAR(160),""))),0),2),
"Attention : Le montant retenu HT est supérieur au montant HT raisonnable. Merci de revoir la ligne de dépense, plafonner son montant, ou justifier la reventillation HT / TVA.",
ROUND(IFERROR(VALUE(TRIM(SUBSTITUTE(BG79,CHAR(160),""))),0),2)&gt;
ROUND(IFERROR(VALUE(TRIM(SUBSTITUTE(BD79,CHAR(160),""))),0),2),
"Attention : Le montant TVA retenu est supérieur au montant TVA raisonnable. Merci de revoir la ligne de dépense, plafonner son montant, ou justifier la reventillation HT / TVA.",
ROUND(IFERROR(VALUE(TRIM(SUBSTITUTE(BH79,CHAR(160),""))),0),2)&gt;
ROUND(IFERROR(VALUE(TRIM(SUBSTITUTE(MIN(N79,S79,X79),CHAR(160),""))),0),2),
"Attention : Le devis retenu n'est pas le moins cher. Une justification de la part du porteur est nécessaire.",
ROUND(IFERROR(VALUE(TRIM(SUBSTITUTE(BH79,CHAR(160),""))),0),2)=0,
"Attention : montant présenté entièrement écarté",
ROUND(IFERROR(VALUE(TRIM(SUBSTITUTE(BE79,CHAR(160),""))),0),2)=
ROUND(IFERROR(VALUE(TRIM(SUBSTITUTE(BH79,CHAR(160),""))),0),2),
"OK",
ROUND(IFERROR(VALUE(TRIM(SUBSTITUTE(BE79,CHAR(160),""))),0),2)&gt;
ROUND(IFERROR(VALUE(TRIM(SUBSTITUTE(BH79,CHAR(160),""))),0),2),
" OK : Montant instruit inférieur au montant raisonnable.",
TRUE,""
))</f>
        <v/>
      </c>
      <c r="BK79" s="774" t="str" cm="1">
        <f t="array" ref="BK79">IF(OR(BH79="",AB79="",BF79="",Z79="",BG79="",AA79=""),"",_xlfn.IFS(
ROUND(IFERROR(VALUE(TRIM(SUBSTITUTE(BH79,CHAR(160),""))),0),2)&gt;
ROUND(IFERROR(VALUE(TRIM(SUBSTITUTE(AB79,CHAR(160),""))),0),2),
"KO : Le montant retenu TTC est supérieur au montant présenté TTC. Merci de revoir la ligne de dépense ou plafonner son montant.",
ROUND(IFERROR(VALUE(TRIM(SUBSTITUTE(BF79,CHAR(160),""))),0),2)&gt;
ROUND(IFERROR(VALUE(TRIM(SUBSTITUTE(Z79,CHAR(160),""))),0),2),
"Attention : Le montant retenu HT est supérieur au montant HT présenté. Merci de revoir la ligne de dépense, plafonner son montant, ou justifier la reventillation HT / TVA.",
ROUND(IFERROR(VALUE(TRIM(SUBSTITUTE(BG79,CHAR(160),""))),0),2)&gt;
ROUND(IFERROR(VALUE(TRIM(SUBSTITUTE(AA79,CHAR(160),""))),0),2),
"Attention : Le montant TVA retenu est supérieur au montant TVA présenté. Merci de revoir la ligne de dépense, plafonner son montant, ou justifier la reventillation HT / TVA.",
ROUND(IFERROR(VALUE(TRIM(SUBSTITUTE(AB79,CHAR(160),""))),0),2)=0,
"",
ROUND(IFERROR(VALUE(TRIM(SUBSTITUTE(BH79,CHAR(160),""))),0),2)=
ROUND(IFERROR(VALUE(TRIM(SUBSTITUTE(AB79,CHAR(160),""))),0),2),
"OK",
ROUND(IFERROR(VALUE(TRIM(SUBSTITUTE(BH79,CHAR(160),""))),0),2)=0,
"Attention : Montant présenté entièrement rejeté.",
ROUND(IFERROR(VALUE(TRIM(SUBSTITUTE(BH79,CHAR(160),""))),0),2)&lt;
ROUND(IFERROR(VALUE(TRIM(SUBSTITUTE(AB79,CHAR(160),""))),0),2),
"Attention : Montant présenté partiellement rejeté.",
TRUE,""
))</f>
        <v/>
      </c>
      <c r="BL79" s="773" t="str">
        <f t="shared" si="88"/>
        <v/>
      </c>
      <c r="BM79" s="773" t="str">
        <f t="shared" si="89"/>
        <v/>
      </c>
      <c r="BN79" s="773" t="str">
        <f t="shared" si="90"/>
        <v/>
      </c>
    </row>
    <row r="80" spans="1:66" ht="15" customHeight="1">
      <c r="A80" s="193">
        <v>76</v>
      </c>
      <c r="B80" s="7"/>
      <c r="C80" s="9"/>
      <c r="D80" s="30"/>
      <c r="E80" s="36"/>
      <c r="F80" s="34"/>
      <c r="G80" s="35"/>
      <c r="H80" s="685"/>
      <c r="I80" s="786"/>
      <c r="J80" s="792"/>
      <c r="K80" s="758"/>
      <c r="L80" s="761"/>
      <c r="M80" s="762"/>
      <c r="N80" s="808" t="str">
        <f t="shared" si="61"/>
        <v/>
      </c>
      <c r="O80" s="846"/>
      <c r="P80" s="847"/>
      <c r="Q80" s="762"/>
      <c r="R80" s="762"/>
      <c r="S80" s="808" t="str">
        <f t="shared" si="62"/>
        <v/>
      </c>
      <c r="T80" s="850"/>
      <c r="U80" s="847"/>
      <c r="V80" s="762"/>
      <c r="W80" s="762"/>
      <c r="X80" s="830" t="str">
        <f t="shared" si="63"/>
        <v/>
      </c>
      <c r="Y80" s="246"/>
      <c r="Z80" s="284" t="str" cm="1">
        <f t="array" ref="Z80">IF((_xlfn.IFS(TRIM(SUBSTITUTE(Y80,CHAR(160),""))="Devis 1",IFERROR(VALUE(TRIM(SUBSTITUTE(L80,CHAR(160),""))),0),TRIM(SUBSTITUTE(Y80,CHAR(160),""))="Devis 2",IFERROR(VALUE(TRIM(SUBSTITUTE(Q80,CHAR(160),""))),0),TRIM(SUBSTITUTE(Y80,CHAR(160),""))="Devis 3",IFERROR(VALUE(TRIM(SUBSTITUTE(V80,CHAR(160),""))),0),TRUE,0)*IFERROR(VALUE(TRIM(SUBSTITUTE(C80,CHAR(160),""))),0))=0,"",_xlfn.IFS(TRIM(SUBSTITUTE(Y80,CHAR(160),""))="Devis 1",IFERROR(VALUE(TRIM(SUBSTITUTE(L80,CHAR(160),""))),0),TRIM(SUBSTITUTE(Y80,CHAR(160),""))="Devis 2",IFERROR(VALUE(TRIM(SUBSTITUTE(Q80,CHAR(160),""))),0),TRIM(SUBSTITUTE(Y80,CHAR(160),""))="Devis 3",IFERROR(VALUE(TRIM(SUBSTITUTE(V80,CHAR(160),""))),0),TRUE,0)*IFERROR(VALUE(TRIM(SUBSTITUTE(C80,CHAR(160),""))),0))</f>
        <v/>
      </c>
      <c r="AA80" s="275" t="str" cm="1">
        <f t="array" ref="AA80">IF((_xlfn.IFS(TRIM(SUBSTITUTE(Y80,CHAR(160),""))="Devis 1",IFERROR(VALUE(TRIM(SUBSTITUTE(M80,CHAR(160),""))),0),TRIM(SUBSTITUTE(Y80,CHAR(160),""))="Devis 2",IFERROR(VALUE(TRIM(SUBSTITUTE(R80,CHAR(160),""))),0),TRIM(SUBSTITUTE(Y80,CHAR(160),""))="Devis 3",IFERROR(VALUE(TRIM(SUBSTITUTE(W80,CHAR(160),""))),0),TRUE,0)*IFERROR(VALUE(TRIM(SUBSTITUTE(C80,CHAR(160),""))),0))=0,IF(Z80&lt;&gt;"",0,""),_xlfn.IFS(TRIM(SUBSTITUTE(Y80,CHAR(160),""))="Devis 1",IFERROR(VALUE(TRIM(SUBSTITUTE(M80,CHAR(160),""))),0),TRIM(SUBSTITUTE(Y80,CHAR(160),""))="Devis 2",IFERROR(VALUE(TRIM(SUBSTITUTE(R80,CHAR(160),""))),0),TRIM(SUBSTITUTE(Y80,CHAR(160),""))="Devis 3",IFERROR(VALUE(TRIM(SUBSTITUTE(W80,CHAR(160),""))),0),TRUE,0)*IFERROR(VALUE(TRIM(SUBSTITUTE(C80,CHAR(160),""))),0))</f>
        <v/>
      </c>
      <c r="AB80" s="285" t="str">
        <f t="shared" si="64"/>
        <v/>
      </c>
      <c r="AC80" s="209"/>
      <c r="AD80" s="747" t="str">
        <f t="shared" si="56"/>
        <v/>
      </c>
      <c r="AE80" s="747" t="str">
        <f t="shared" si="57"/>
        <v/>
      </c>
      <c r="AF80" s="747" t="str">
        <f t="shared" si="58"/>
        <v/>
      </c>
      <c r="AG80" s="747" t="str">
        <f t="shared" si="59"/>
        <v/>
      </c>
      <c r="AH80" s="747" t="str">
        <f t="shared" si="60"/>
        <v/>
      </c>
      <c r="AI80" s="747" t="str">
        <f t="shared" si="65"/>
        <v/>
      </c>
      <c r="AJ80" s="747" t="str">
        <f t="shared" si="66"/>
        <v/>
      </c>
      <c r="AK80" s="776" t="str">
        <f t="shared" si="67"/>
        <v/>
      </c>
      <c r="AL80" s="802" t="str">
        <f t="shared" si="68"/>
        <v/>
      </c>
      <c r="AM80" s="747" t="str">
        <f t="shared" si="69"/>
        <v/>
      </c>
      <c r="AN80" s="771" t="str">
        <f t="shared" si="70"/>
        <v/>
      </c>
      <c r="AO80" s="771" t="str">
        <f t="shared" si="71"/>
        <v/>
      </c>
      <c r="AP80" s="808" t="str">
        <f t="shared" si="72"/>
        <v/>
      </c>
      <c r="AQ80" s="819" t="str">
        <f t="shared" si="73"/>
        <v/>
      </c>
      <c r="AR80" s="771" t="str">
        <f t="shared" si="74"/>
        <v/>
      </c>
      <c r="AS80" s="771" t="str">
        <f t="shared" si="75"/>
        <v/>
      </c>
      <c r="AT80" s="771" t="str">
        <f t="shared" si="76"/>
        <v/>
      </c>
      <c r="AU80" s="808" t="str">
        <f t="shared" si="77"/>
        <v/>
      </c>
      <c r="AV80" s="842" t="str">
        <f t="shared" si="78"/>
        <v/>
      </c>
      <c r="AW80" s="771" t="str">
        <f t="shared" si="79"/>
        <v/>
      </c>
      <c r="AX80" s="771" t="str">
        <f t="shared" si="80"/>
        <v/>
      </c>
      <c r="AY80" s="771" t="str">
        <f t="shared" si="81"/>
        <v/>
      </c>
      <c r="AZ80" s="831" t="str">
        <f t="shared" si="82"/>
        <v/>
      </c>
      <c r="BA80" s="835" t="str">
        <f t="shared" si="83"/>
        <v/>
      </c>
      <c r="BB80" s="772"/>
      <c r="BC80" s="275" t="str">
        <f t="shared" si="84"/>
        <v/>
      </c>
      <c r="BD80" s="275" t="str">
        <f t="shared" si="85"/>
        <v/>
      </c>
      <c r="BE80" s="886" t="str">
        <f t="shared" si="86"/>
        <v/>
      </c>
      <c r="BF80" s="873" t="str" cm="1">
        <f t="array" ref="BF80">IF($AE80="","",
_xlfn.IFS(
$BA80="Devis 1",
IF(ISBLANK(AN80),"",IFERROR(VALUE(TRIM(SUBSTITUTE(AN80,CHAR(160),""))),0)*IFERROR(VALUE(TRIM(SUBSTITUTE($AE80,CHAR(160),""))),0)),
$BA80="Devis 2",
IF(ISBLANK(AS80),"",IFERROR(VALUE(TRIM(SUBSTITUTE(AS80,CHAR(160),""))),0)*IFERROR(VALUE(TRIM(SUBSTITUTE($AE80,CHAR(160),""))),0)),
$BA80="Devis 3",
IF(ISBLANK(AX80),"",IFERROR(VALUE(TRIM(SUBSTITUTE(AX80,CHAR(160),""))),0)*IFERROR(VALUE(TRIM(SUBSTITUTE($AE80,CHAR(160),""))),0)),
TRUE,0
)
)</f>
        <v/>
      </c>
      <c r="BG80" s="873" t="str" cm="1">
        <f t="array" ref="BG80">IF($AE80="","",
_xlfn.IFS(
$BA80="Devis 1",
IF(ISBLANK(AO80),"",IFERROR(VALUE(TRIM(SUBSTITUTE(AO80,CHAR(160),""))),0)*IFERROR(VALUE(TRIM(SUBSTITUTE($AE80,CHAR(160),""))),0)),
$BA80="Devis 2",
IF(ISBLANK(AT80),"",IFERROR(VALUE(TRIM(SUBSTITUTE(AT80,CHAR(160),""))),0)*IFERROR(VALUE(TRIM(SUBSTITUTE($AE80,CHAR(160),""))),0)),
$BA80="Devis 3",
IF(ISBLANK(AY80),"",IFERROR(VALUE(TRIM(SUBSTITUTE(AY80,CHAR(160),""))),0)*IFERROR(VALUE(TRIM(SUBSTITUTE($AE80,CHAR(160),""))),0)),
TRUE,0
)
)</f>
        <v/>
      </c>
      <c r="BH80" s="874" t="str">
        <f t="shared" si="87"/>
        <v/>
      </c>
      <c r="BI80" s="866"/>
      <c r="BJ80" s="774" t="str" cm="1">
        <f t="array" ref="BJ80">IF(OR(BH80="",BE80="",BF80="",BC80="",BG80="",BD80=""),"",_xlfn.IFS(
ROUND(IFERROR(VALUE(TRIM(SUBSTITUTE(BH80,CHAR(160),""))),0),2)&gt;
ROUND(IFERROR(VALUE(TRIM(SUBSTITUTE(BE80,CHAR(160),""))),0),2),
"KO : Le montant retenu TTC est supérieur au montant raisonnable TTC. Merci de revoir la ligne de dépense ou plafonner son montant.",
ROUND(IFERROR(VALUE(TRIM(SUBSTITUTE(BF80,CHAR(160),""))),0),2)&gt;
ROUND(IFERROR(VALUE(TRIM(SUBSTITUTE(BC80,CHAR(160),""))),0),2),
"Attention : Le montant retenu HT est supérieur au montant HT raisonnable. Merci de revoir la ligne de dépense, plafonner son montant, ou justifier la reventillation HT / TVA.",
ROUND(IFERROR(VALUE(TRIM(SUBSTITUTE(BG80,CHAR(160),""))),0),2)&gt;
ROUND(IFERROR(VALUE(TRIM(SUBSTITUTE(BD80,CHAR(160),""))),0),2),
"Attention : Le montant TVA retenu est supérieur au montant TVA raisonnable. Merci de revoir la ligne de dépense, plafonner son montant, ou justifier la reventillation HT / TVA.",
ROUND(IFERROR(VALUE(TRIM(SUBSTITUTE(BH80,CHAR(160),""))),0),2)&gt;
ROUND(IFERROR(VALUE(TRIM(SUBSTITUTE(MIN(N80,S80,X80),CHAR(160),""))),0),2),
"Attention : Le devis retenu n'est pas le moins cher. Une justification de la part du porteur est nécessaire.",
ROUND(IFERROR(VALUE(TRIM(SUBSTITUTE(BH80,CHAR(160),""))),0),2)=0,
"Attention : montant présenté entièrement écarté",
ROUND(IFERROR(VALUE(TRIM(SUBSTITUTE(BE80,CHAR(160),""))),0),2)=
ROUND(IFERROR(VALUE(TRIM(SUBSTITUTE(BH80,CHAR(160),""))),0),2),
"OK",
ROUND(IFERROR(VALUE(TRIM(SUBSTITUTE(BE80,CHAR(160),""))),0),2)&gt;
ROUND(IFERROR(VALUE(TRIM(SUBSTITUTE(BH80,CHAR(160),""))),0),2),
" OK : Montant instruit inférieur au montant raisonnable.",
TRUE,""
))</f>
        <v/>
      </c>
      <c r="BK80" s="774" t="str" cm="1">
        <f t="array" ref="BK80">IF(OR(BH80="",AB80="",BF80="",Z80="",BG80="",AA80=""),"",_xlfn.IFS(
ROUND(IFERROR(VALUE(TRIM(SUBSTITUTE(BH80,CHAR(160),""))),0),2)&gt;
ROUND(IFERROR(VALUE(TRIM(SUBSTITUTE(AB80,CHAR(160),""))),0),2),
"KO : Le montant retenu TTC est supérieur au montant présenté TTC. Merci de revoir la ligne de dépense ou plafonner son montant.",
ROUND(IFERROR(VALUE(TRIM(SUBSTITUTE(BF80,CHAR(160),""))),0),2)&gt;
ROUND(IFERROR(VALUE(TRIM(SUBSTITUTE(Z80,CHAR(160),""))),0),2),
"Attention : Le montant retenu HT est supérieur au montant HT présenté. Merci de revoir la ligne de dépense, plafonner son montant, ou justifier la reventillation HT / TVA.",
ROUND(IFERROR(VALUE(TRIM(SUBSTITUTE(BG80,CHAR(160),""))),0),2)&gt;
ROUND(IFERROR(VALUE(TRIM(SUBSTITUTE(AA80,CHAR(160),""))),0),2),
"Attention : Le montant TVA retenu est supérieur au montant TVA présenté. Merci de revoir la ligne de dépense, plafonner son montant, ou justifier la reventillation HT / TVA.",
ROUND(IFERROR(VALUE(TRIM(SUBSTITUTE(AB80,CHAR(160),""))),0),2)=0,
"",
ROUND(IFERROR(VALUE(TRIM(SUBSTITUTE(BH80,CHAR(160),""))),0),2)=
ROUND(IFERROR(VALUE(TRIM(SUBSTITUTE(AB80,CHAR(160),""))),0),2),
"OK",
ROUND(IFERROR(VALUE(TRIM(SUBSTITUTE(BH80,CHAR(160),""))),0),2)=0,
"Attention : Montant présenté entièrement rejeté.",
ROUND(IFERROR(VALUE(TRIM(SUBSTITUTE(BH80,CHAR(160),""))),0),2)&lt;
ROUND(IFERROR(VALUE(TRIM(SUBSTITUTE(AB80,CHAR(160),""))),0),2),
"Attention : Montant présenté partiellement rejeté.",
TRUE,""
))</f>
        <v/>
      </c>
      <c r="BL80" s="773" t="str">
        <f t="shared" si="88"/>
        <v/>
      </c>
      <c r="BM80" s="773" t="str">
        <f t="shared" si="89"/>
        <v/>
      </c>
      <c r="BN80" s="773" t="str">
        <f t="shared" si="90"/>
        <v/>
      </c>
    </row>
    <row r="81" spans="1:66" ht="15" customHeight="1">
      <c r="A81" s="193">
        <v>77</v>
      </c>
      <c r="B81" s="7"/>
      <c r="C81" s="9"/>
      <c r="D81" s="30"/>
      <c r="E81" s="36"/>
      <c r="F81" s="34"/>
      <c r="G81" s="35"/>
      <c r="H81" s="685"/>
      <c r="I81" s="786"/>
      <c r="J81" s="792"/>
      <c r="K81" s="758"/>
      <c r="L81" s="761"/>
      <c r="M81" s="762"/>
      <c r="N81" s="808" t="str">
        <f t="shared" si="61"/>
        <v/>
      </c>
      <c r="O81" s="846"/>
      <c r="P81" s="847"/>
      <c r="Q81" s="762"/>
      <c r="R81" s="762"/>
      <c r="S81" s="808" t="str">
        <f t="shared" si="62"/>
        <v/>
      </c>
      <c r="T81" s="850"/>
      <c r="U81" s="847"/>
      <c r="V81" s="762"/>
      <c r="W81" s="762"/>
      <c r="X81" s="830" t="str">
        <f t="shared" si="63"/>
        <v/>
      </c>
      <c r="Y81" s="246"/>
      <c r="Z81" s="284" t="str" cm="1">
        <f t="array" ref="Z81">IF((_xlfn.IFS(TRIM(SUBSTITUTE(Y81,CHAR(160),""))="Devis 1",IFERROR(VALUE(TRIM(SUBSTITUTE(L81,CHAR(160),""))),0),TRIM(SUBSTITUTE(Y81,CHAR(160),""))="Devis 2",IFERROR(VALUE(TRIM(SUBSTITUTE(Q81,CHAR(160),""))),0),TRIM(SUBSTITUTE(Y81,CHAR(160),""))="Devis 3",IFERROR(VALUE(TRIM(SUBSTITUTE(V81,CHAR(160),""))),0),TRUE,0)*IFERROR(VALUE(TRIM(SUBSTITUTE(C81,CHAR(160),""))),0))=0,"",_xlfn.IFS(TRIM(SUBSTITUTE(Y81,CHAR(160),""))="Devis 1",IFERROR(VALUE(TRIM(SUBSTITUTE(L81,CHAR(160),""))),0),TRIM(SUBSTITUTE(Y81,CHAR(160),""))="Devis 2",IFERROR(VALUE(TRIM(SUBSTITUTE(Q81,CHAR(160),""))),0),TRIM(SUBSTITUTE(Y81,CHAR(160),""))="Devis 3",IFERROR(VALUE(TRIM(SUBSTITUTE(V81,CHAR(160),""))),0),TRUE,0)*IFERROR(VALUE(TRIM(SUBSTITUTE(C81,CHAR(160),""))),0))</f>
        <v/>
      </c>
      <c r="AA81" s="275" t="str" cm="1">
        <f t="array" ref="AA81">IF((_xlfn.IFS(TRIM(SUBSTITUTE(Y81,CHAR(160),""))="Devis 1",IFERROR(VALUE(TRIM(SUBSTITUTE(M81,CHAR(160),""))),0),TRIM(SUBSTITUTE(Y81,CHAR(160),""))="Devis 2",IFERROR(VALUE(TRIM(SUBSTITUTE(R81,CHAR(160),""))),0),TRIM(SUBSTITUTE(Y81,CHAR(160),""))="Devis 3",IFERROR(VALUE(TRIM(SUBSTITUTE(W81,CHAR(160),""))),0),TRUE,0)*IFERROR(VALUE(TRIM(SUBSTITUTE(C81,CHAR(160),""))),0))=0,IF(Z81&lt;&gt;"",0,""),_xlfn.IFS(TRIM(SUBSTITUTE(Y81,CHAR(160),""))="Devis 1",IFERROR(VALUE(TRIM(SUBSTITUTE(M81,CHAR(160),""))),0),TRIM(SUBSTITUTE(Y81,CHAR(160),""))="Devis 2",IFERROR(VALUE(TRIM(SUBSTITUTE(R81,CHAR(160),""))),0),TRIM(SUBSTITUTE(Y81,CHAR(160),""))="Devis 3",IFERROR(VALUE(TRIM(SUBSTITUTE(W81,CHAR(160),""))),0),TRUE,0)*IFERROR(VALUE(TRIM(SUBSTITUTE(C81,CHAR(160),""))),0))</f>
        <v/>
      </c>
      <c r="AB81" s="285" t="str">
        <f t="shared" si="64"/>
        <v/>
      </c>
      <c r="AC81" s="209"/>
      <c r="AD81" s="747" t="str">
        <f t="shared" si="56"/>
        <v/>
      </c>
      <c r="AE81" s="747" t="str">
        <f t="shared" si="57"/>
        <v/>
      </c>
      <c r="AF81" s="747" t="str">
        <f t="shared" si="58"/>
        <v/>
      </c>
      <c r="AG81" s="747" t="str">
        <f t="shared" si="59"/>
        <v/>
      </c>
      <c r="AH81" s="747" t="str">
        <f t="shared" si="60"/>
        <v/>
      </c>
      <c r="AI81" s="747" t="str">
        <f t="shared" si="65"/>
        <v/>
      </c>
      <c r="AJ81" s="747" t="str">
        <f t="shared" si="66"/>
        <v/>
      </c>
      <c r="AK81" s="776" t="str">
        <f t="shared" si="67"/>
        <v/>
      </c>
      <c r="AL81" s="802" t="str">
        <f t="shared" si="68"/>
        <v/>
      </c>
      <c r="AM81" s="747" t="str">
        <f t="shared" si="69"/>
        <v/>
      </c>
      <c r="AN81" s="771" t="str">
        <f t="shared" si="70"/>
        <v/>
      </c>
      <c r="AO81" s="771" t="str">
        <f t="shared" si="71"/>
        <v/>
      </c>
      <c r="AP81" s="808" t="str">
        <f t="shared" si="72"/>
        <v/>
      </c>
      <c r="AQ81" s="819" t="str">
        <f t="shared" si="73"/>
        <v/>
      </c>
      <c r="AR81" s="771" t="str">
        <f t="shared" si="74"/>
        <v/>
      </c>
      <c r="AS81" s="771" t="str">
        <f t="shared" si="75"/>
        <v/>
      </c>
      <c r="AT81" s="771" t="str">
        <f t="shared" si="76"/>
        <v/>
      </c>
      <c r="AU81" s="808" t="str">
        <f t="shared" si="77"/>
        <v/>
      </c>
      <c r="AV81" s="842" t="str">
        <f t="shared" si="78"/>
        <v/>
      </c>
      <c r="AW81" s="771" t="str">
        <f t="shared" si="79"/>
        <v/>
      </c>
      <c r="AX81" s="771" t="str">
        <f t="shared" si="80"/>
        <v/>
      </c>
      <c r="AY81" s="771" t="str">
        <f t="shared" si="81"/>
        <v/>
      </c>
      <c r="AZ81" s="831" t="str">
        <f t="shared" si="82"/>
        <v/>
      </c>
      <c r="BA81" s="835" t="str">
        <f t="shared" si="83"/>
        <v/>
      </c>
      <c r="BB81" s="772"/>
      <c r="BC81" s="275" t="str">
        <f t="shared" si="84"/>
        <v/>
      </c>
      <c r="BD81" s="275" t="str">
        <f t="shared" si="85"/>
        <v/>
      </c>
      <c r="BE81" s="886" t="str">
        <f t="shared" si="86"/>
        <v/>
      </c>
      <c r="BF81" s="873" t="str" cm="1">
        <f t="array" ref="BF81">IF($AE81="","",
_xlfn.IFS(
$BA81="Devis 1",
IF(ISBLANK(AN81),"",IFERROR(VALUE(TRIM(SUBSTITUTE(AN81,CHAR(160),""))),0)*IFERROR(VALUE(TRIM(SUBSTITUTE($AE81,CHAR(160),""))),0)),
$BA81="Devis 2",
IF(ISBLANK(AS81),"",IFERROR(VALUE(TRIM(SUBSTITUTE(AS81,CHAR(160),""))),0)*IFERROR(VALUE(TRIM(SUBSTITUTE($AE81,CHAR(160),""))),0)),
$BA81="Devis 3",
IF(ISBLANK(AX81),"",IFERROR(VALUE(TRIM(SUBSTITUTE(AX81,CHAR(160),""))),0)*IFERROR(VALUE(TRIM(SUBSTITUTE($AE81,CHAR(160),""))),0)),
TRUE,0
)
)</f>
        <v/>
      </c>
      <c r="BG81" s="873" t="str" cm="1">
        <f t="array" ref="BG81">IF($AE81="","",
_xlfn.IFS(
$BA81="Devis 1",
IF(ISBLANK(AO81),"",IFERROR(VALUE(TRIM(SUBSTITUTE(AO81,CHAR(160),""))),0)*IFERROR(VALUE(TRIM(SUBSTITUTE($AE81,CHAR(160),""))),0)),
$BA81="Devis 2",
IF(ISBLANK(AT81),"",IFERROR(VALUE(TRIM(SUBSTITUTE(AT81,CHAR(160),""))),0)*IFERROR(VALUE(TRIM(SUBSTITUTE($AE81,CHAR(160),""))),0)),
$BA81="Devis 3",
IF(ISBLANK(AY81),"",IFERROR(VALUE(TRIM(SUBSTITUTE(AY81,CHAR(160),""))),0)*IFERROR(VALUE(TRIM(SUBSTITUTE($AE81,CHAR(160),""))),0)),
TRUE,0
)
)</f>
        <v/>
      </c>
      <c r="BH81" s="874" t="str">
        <f t="shared" si="87"/>
        <v/>
      </c>
      <c r="BI81" s="866"/>
      <c r="BJ81" s="774" t="str" cm="1">
        <f t="array" ref="BJ81">IF(OR(BH81="",BE81="",BF81="",BC81="",BG81="",BD81=""),"",_xlfn.IFS(
ROUND(IFERROR(VALUE(TRIM(SUBSTITUTE(BH81,CHAR(160),""))),0),2)&gt;
ROUND(IFERROR(VALUE(TRIM(SUBSTITUTE(BE81,CHAR(160),""))),0),2),
"KO : Le montant retenu TTC est supérieur au montant raisonnable TTC. Merci de revoir la ligne de dépense ou plafonner son montant.",
ROUND(IFERROR(VALUE(TRIM(SUBSTITUTE(BF81,CHAR(160),""))),0),2)&gt;
ROUND(IFERROR(VALUE(TRIM(SUBSTITUTE(BC81,CHAR(160),""))),0),2),
"Attention : Le montant retenu HT est supérieur au montant HT raisonnable. Merci de revoir la ligne de dépense, plafonner son montant, ou justifier la reventillation HT / TVA.",
ROUND(IFERROR(VALUE(TRIM(SUBSTITUTE(BG81,CHAR(160),""))),0),2)&gt;
ROUND(IFERROR(VALUE(TRIM(SUBSTITUTE(BD81,CHAR(160),""))),0),2),
"Attention : Le montant TVA retenu est supérieur au montant TVA raisonnable. Merci de revoir la ligne de dépense, plafonner son montant, ou justifier la reventillation HT / TVA.",
ROUND(IFERROR(VALUE(TRIM(SUBSTITUTE(BH81,CHAR(160),""))),0),2)&gt;
ROUND(IFERROR(VALUE(TRIM(SUBSTITUTE(MIN(N81,S81,X81),CHAR(160),""))),0),2),
"Attention : Le devis retenu n'est pas le moins cher. Une justification de la part du porteur est nécessaire.",
ROUND(IFERROR(VALUE(TRIM(SUBSTITUTE(BH81,CHAR(160),""))),0),2)=0,
"Attention : montant présenté entièrement écarté",
ROUND(IFERROR(VALUE(TRIM(SUBSTITUTE(BE81,CHAR(160),""))),0),2)=
ROUND(IFERROR(VALUE(TRIM(SUBSTITUTE(BH81,CHAR(160),""))),0),2),
"OK",
ROUND(IFERROR(VALUE(TRIM(SUBSTITUTE(BE81,CHAR(160),""))),0),2)&gt;
ROUND(IFERROR(VALUE(TRIM(SUBSTITUTE(BH81,CHAR(160),""))),0),2),
" OK : Montant instruit inférieur au montant raisonnable.",
TRUE,""
))</f>
        <v/>
      </c>
      <c r="BK81" s="774" t="str" cm="1">
        <f t="array" ref="BK81">IF(OR(BH81="",AB81="",BF81="",Z81="",BG81="",AA81=""),"",_xlfn.IFS(
ROUND(IFERROR(VALUE(TRIM(SUBSTITUTE(BH81,CHAR(160),""))),0),2)&gt;
ROUND(IFERROR(VALUE(TRIM(SUBSTITUTE(AB81,CHAR(160),""))),0),2),
"KO : Le montant retenu TTC est supérieur au montant présenté TTC. Merci de revoir la ligne de dépense ou plafonner son montant.",
ROUND(IFERROR(VALUE(TRIM(SUBSTITUTE(BF81,CHAR(160),""))),0),2)&gt;
ROUND(IFERROR(VALUE(TRIM(SUBSTITUTE(Z81,CHAR(160),""))),0),2),
"Attention : Le montant retenu HT est supérieur au montant HT présenté. Merci de revoir la ligne de dépense, plafonner son montant, ou justifier la reventillation HT / TVA.",
ROUND(IFERROR(VALUE(TRIM(SUBSTITUTE(BG81,CHAR(160),""))),0),2)&gt;
ROUND(IFERROR(VALUE(TRIM(SUBSTITUTE(AA81,CHAR(160),""))),0),2),
"Attention : Le montant TVA retenu est supérieur au montant TVA présenté. Merci de revoir la ligne de dépense, plafonner son montant, ou justifier la reventillation HT / TVA.",
ROUND(IFERROR(VALUE(TRIM(SUBSTITUTE(AB81,CHAR(160),""))),0),2)=0,
"",
ROUND(IFERROR(VALUE(TRIM(SUBSTITUTE(BH81,CHAR(160),""))),0),2)=
ROUND(IFERROR(VALUE(TRIM(SUBSTITUTE(AB81,CHAR(160),""))),0),2),
"OK",
ROUND(IFERROR(VALUE(TRIM(SUBSTITUTE(BH81,CHAR(160),""))),0),2)=0,
"Attention : Montant présenté entièrement rejeté.",
ROUND(IFERROR(VALUE(TRIM(SUBSTITUTE(BH81,CHAR(160),""))),0),2)&lt;
ROUND(IFERROR(VALUE(TRIM(SUBSTITUTE(AB81,CHAR(160),""))),0),2),
"Attention : Montant présenté partiellement rejeté.",
TRUE,""
))</f>
        <v/>
      </c>
      <c r="BL81" s="773" t="str">
        <f t="shared" si="88"/>
        <v/>
      </c>
      <c r="BM81" s="773" t="str">
        <f t="shared" si="89"/>
        <v/>
      </c>
      <c r="BN81" s="773" t="str">
        <f t="shared" si="90"/>
        <v/>
      </c>
    </row>
    <row r="82" spans="1:66" ht="15" customHeight="1">
      <c r="A82" s="193">
        <v>78</v>
      </c>
      <c r="B82" s="7"/>
      <c r="C82" s="9"/>
      <c r="D82" s="30"/>
      <c r="E82" s="36"/>
      <c r="F82" s="34"/>
      <c r="G82" s="35"/>
      <c r="H82" s="685"/>
      <c r="I82" s="786"/>
      <c r="J82" s="792"/>
      <c r="K82" s="758"/>
      <c r="L82" s="761"/>
      <c r="M82" s="762"/>
      <c r="N82" s="808" t="str">
        <f t="shared" si="61"/>
        <v/>
      </c>
      <c r="O82" s="846"/>
      <c r="P82" s="847"/>
      <c r="Q82" s="762"/>
      <c r="R82" s="762"/>
      <c r="S82" s="808" t="str">
        <f t="shared" si="62"/>
        <v/>
      </c>
      <c r="T82" s="850"/>
      <c r="U82" s="847"/>
      <c r="V82" s="762"/>
      <c r="W82" s="762"/>
      <c r="X82" s="830" t="str">
        <f t="shared" si="63"/>
        <v/>
      </c>
      <c r="Y82" s="246"/>
      <c r="Z82" s="284" t="str" cm="1">
        <f t="array" ref="Z82">IF((_xlfn.IFS(TRIM(SUBSTITUTE(Y82,CHAR(160),""))="Devis 1",IFERROR(VALUE(TRIM(SUBSTITUTE(L82,CHAR(160),""))),0),TRIM(SUBSTITUTE(Y82,CHAR(160),""))="Devis 2",IFERROR(VALUE(TRIM(SUBSTITUTE(Q82,CHAR(160),""))),0),TRIM(SUBSTITUTE(Y82,CHAR(160),""))="Devis 3",IFERROR(VALUE(TRIM(SUBSTITUTE(V82,CHAR(160),""))),0),TRUE,0)*IFERROR(VALUE(TRIM(SUBSTITUTE(C82,CHAR(160),""))),0))=0,"",_xlfn.IFS(TRIM(SUBSTITUTE(Y82,CHAR(160),""))="Devis 1",IFERROR(VALUE(TRIM(SUBSTITUTE(L82,CHAR(160),""))),0),TRIM(SUBSTITUTE(Y82,CHAR(160),""))="Devis 2",IFERROR(VALUE(TRIM(SUBSTITUTE(Q82,CHAR(160),""))),0),TRIM(SUBSTITUTE(Y82,CHAR(160),""))="Devis 3",IFERROR(VALUE(TRIM(SUBSTITUTE(V82,CHAR(160),""))),0),TRUE,0)*IFERROR(VALUE(TRIM(SUBSTITUTE(C82,CHAR(160),""))),0))</f>
        <v/>
      </c>
      <c r="AA82" s="275" t="str" cm="1">
        <f t="array" ref="AA82">IF((_xlfn.IFS(TRIM(SUBSTITUTE(Y82,CHAR(160),""))="Devis 1",IFERROR(VALUE(TRIM(SUBSTITUTE(M82,CHAR(160),""))),0),TRIM(SUBSTITUTE(Y82,CHAR(160),""))="Devis 2",IFERROR(VALUE(TRIM(SUBSTITUTE(R82,CHAR(160),""))),0),TRIM(SUBSTITUTE(Y82,CHAR(160),""))="Devis 3",IFERROR(VALUE(TRIM(SUBSTITUTE(W82,CHAR(160),""))),0),TRUE,0)*IFERROR(VALUE(TRIM(SUBSTITUTE(C82,CHAR(160),""))),0))=0,IF(Z82&lt;&gt;"",0,""),_xlfn.IFS(TRIM(SUBSTITUTE(Y82,CHAR(160),""))="Devis 1",IFERROR(VALUE(TRIM(SUBSTITUTE(M82,CHAR(160),""))),0),TRIM(SUBSTITUTE(Y82,CHAR(160),""))="Devis 2",IFERROR(VALUE(TRIM(SUBSTITUTE(R82,CHAR(160),""))),0),TRIM(SUBSTITUTE(Y82,CHAR(160),""))="Devis 3",IFERROR(VALUE(TRIM(SUBSTITUTE(W82,CHAR(160),""))),0),TRUE,0)*IFERROR(VALUE(TRIM(SUBSTITUTE(C82,CHAR(160),""))),0))</f>
        <v/>
      </c>
      <c r="AB82" s="285" t="str">
        <f t="shared" si="64"/>
        <v/>
      </c>
      <c r="AC82" s="209"/>
      <c r="AD82" s="747" t="str">
        <f t="shared" si="56"/>
        <v/>
      </c>
      <c r="AE82" s="747" t="str">
        <f t="shared" si="57"/>
        <v/>
      </c>
      <c r="AF82" s="747" t="str">
        <f t="shared" si="58"/>
        <v/>
      </c>
      <c r="AG82" s="747" t="str">
        <f t="shared" si="59"/>
        <v/>
      </c>
      <c r="AH82" s="747" t="str">
        <f t="shared" si="60"/>
        <v/>
      </c>
      <c r="AI82" s="747" t="str">
        <f t="shared" si="65"/>
        <v/>
      </c>
      <c r="AJ82" s="747" t="str">
        <f t="shared" si="66"/>
        <v/>
      </c>
      <c r="AK82" s="776" t="str">
        <f t="shared" si="67"/>
        <v/>
      </c>
      <c r="AL82" s="802" t="str">
        <f t="shared" si="68"/>
        <v/>
      </c>
      <c r="AM82" s="747" t="str">
        <f t="shared" si="69"/>
        <v/>
      </c>
      <c r="AN82" s="771" t="str">
        <f t="shared" si="70"/>
        <v/>
      </c>
      <c r="AO82" s="771" t="str">
        <f t="shared" si="71"/>
        <v/>
      </c>
      <c r="AP82" s="808" t="str">
        <f t="shared" si="72"/>
        <v/>
      </c>
      <c r="AQ82" s="819" t="str">
        <f t="shared" si="73"/>
        <v/>
      </c>
      <c r="AR82" s="771" t="str">
        <f t="shared" si="74"/>
        <v/>
      </c>
      <c r="AS82" s="771" t="str">
        <f t="shared" si="75"/>
        <v/>
      </c>
      <c r="AT82" s="771" t="str">
        <f t="shared" si="76"/>
        <v/>
      </c>
      <c r="AU82" s="808" t="str">
        <f t="shared" si="77"/>
        <v/>
      </c>
      <c r="AV82" s="842" t="str">
        <f t="shared" si="78"/>
        <v/>
      </c>
      <c r="AW82" s="771" t="str">
        <f t="shared" si="79"/>
        <v/>
      </c>
      <c r="AX82" s="771" t="str">
        <f t="shared" si="80"/>
        <v/>
      </c>
      <c r="AY82" s="771" t="str">
        <f t="shared" si="81"/>
        <v/>
      </c>
      <c r="AZ82" s="831" t="str">
        <f t="shared" si="82"/>
        <v/>
      </c>
      <c r="BA82" s="835" t="str">
        <f t="shared" si="83"/>
        <v/>
      </c>
      <c r="BB82" s="772"/>
      <c r="BC82" s="275" t="str">
        <f t="shared" si="84"/>
        <v/>
      </c>
      <c r="BD82" s="275" t="str">
        <f t="shared" si="85"/>
        <v/>
      </c>
      <c r="BE82" s="886" t="str">
        <f t="shared" si="86"/>
        <v/>
      </c>
      <c r="BF82" s="873" t="str" cm="1">
        <f t="array" ref="BF82">IF($AE82="","",
_xlfn.IFS(
$BA82="Devis 1",
IF(ISBLANK(AN82),"",IFERROR(VALUE(TRIM(SUBSTITUTE(AN82,CHAR(160),""))),0)*IFERROR(VALUE(TRIM(SUBSTITUTE($AE82,CHAR(160),""))),0)),
$BA82="Devis 2",
IF(ISBLANK(AS82),"",IFERROR(VALUE(TRIM(SUBSTITUTE(AS82,CHAR(160),""))),0)*IFERROR(VALUE(TRIM(SUBSTITUTE($AE82,CHAR(160),""))),0)),
$BA82="Devis 3",
IF(ISBLANK(AX82),"",IFERROR(VALUE(TRIM(SUBSTITUTE(AX82,CHAR(160),""))),0)*IFERROR(VALUE(TRIM(SUBSTITUTE($AE82,CHAR(160),""))),0)),
TRUE,0
)
)</f>
        <v/>
      </c>
      <c r="BG82" s="873" t="str" cm="1">
        <f t="array" ref="BG82">IF($AE82="","",
_xlfn.IFS(
$BA82="Devis 1",
IF(ISBLANK(AO82),"",IFERROR(VALUE(TRIM(SUBSTITUTE(AO82,CHAR(160),""))),0)*IFERROR(VALUE(TRIM(SUBSTITUTE($AE82,CHAR(160),""))),0)),
$BA82="Devis 2",
IF(ISBLANK(AT82),"",IFERROR(VALUE(TRIM(SUBSTITUTE(AT82,CHAR(160),""))),0)*IFERROR(VALUE(TRIM(SUBSTITUTE($AE82,CHAR(160),""))),0)),
$BA82="Devis 3",
IF(ISBLANK(AY82),"",IFERROR(VALUE(TRIM(SUBSTITUTE(AY82,CHAR(160),""))),0)*IFERROR(VALUE(TRIM(SUBSTITUTE($AE82,CHAR(160),""))),0)),
TRUE,0
)
)</f>
        <v/>
      </c>
      <c r="BH82" s="874" t="str">
        <f t="shared" si="87"/>
        <v/>
      </c>
      <c r="BI82" s="866"/>
      <c r="BJ82" s="774" t="str" cm="1">
        <f t="array" ref="BJ82">IF(OR(BH82="",BE82="",BF82="",BC82="",BG82="",BD82=""),"",_xlfn.IFS(
ROUND(IFERROR(VALUE(TRIM(SUBSTITUTE(BH82,CHAR(160),""))),0),2)&gt;
ROUND(IFERROR(VALUE(TRIM(SUBSTITUTE(BE82,CHAR(160),""))),0),2),
"KO : Le montant retenu TTC est supérieur au montant raisonnable TTC. Merci de revoir la ligne de dépense ou plafonner son montant.",
ROUND(IFERROR(VALUE(TRIM(SUBSTITUTE(BF82,CHAR(160),""))),0),2)&gt;
ROUND(IFERROR(VALUE(TRIM(SUBSTITUTE(BC82,CHAR(160),""))),0),2),
"Attention : Le montant retenu HT est supérieur au montant HT raisonnable. Merci de revoir la ligne de dépense, plafonner son montant, ou justifier la reventillation HT / TVA.",
ROUND(IFERROR(VALUE(TRIM(SUBSTITUTE(BG82,CHAR(160),""))),0),2)&gt;
ROUND(IFERROR(VALUE(TRIM(SUBSTITUTE(BD82,CHAR(160),""))),0),2),
"Attention : Le montant TVA retenu est supérieur au montant TVA raisonnable. Merci de revoir la ligne de dépense, plafonner son montant, ou justifier la reventillation HT / TVA.",
ROUND(IFERROR(VALUE(TRIM(SUBSTITUTE(BH82,CHAR(160),""))),0),2)&gt;
ROUND(IFERROR(VALUE(TRIM(SUBSTITUTE(MIN(N82,S82,X82),CHAR(160),""))),0),2),
"Attention : Le devis retenu n'est pas le moins cher. Une justification de la part du porteur est nécessaire.",
ROUND(IFERROR(VALUE(TRIM(SUBSTITUTE(BH82,CHAR(160),""))),0),2)=0,
"Attention : montant présenté entièrement écarté",
ROUND(IFERROR(VALUE(TRIM(SUBSTITUTE(BE82,CHAR(160),""))),0),2)=
ROUND(IFERROR(VALUE(TRIM(SUBSTITUTE(BH82,CHAR(160),""))),0),2),
"OK",
ROUND(IFERROR(VALUE(TRIM(SUBSTITUTE(BE82,CHAR(160),""))),0),2)&gt;
ROUND(IFERROR(VALUE(TRIM(SUBSTITUTE(BH82,CHAR(160),""))),0),2),
" OK : Montant instruit inférieur au montant raisonnable.",
TRUE,""
))</f>
        <v/>
      </c>
      <c r="BK82" s="774" t="str" cm="1">
        <f t="array" ref="BK82">IF(OR(BH82="",AB82="",BF82="",Z82="",BG82="",AA82=""),"",_xlfn.IFS(
ROUND(IFERROR(VALUE(TRIM(SUBSTITUTE(BH82,CHAR(160),""))),0),2)&gt;
ROUND(IFERROR(VALUE(TRIM(SUBSTITUTE(AB82,CHAR(160),""))),0),2),
"KO : Le montant retenu TTC est supérieur au montant présenté TTC. Merci de revoir la ligne de dépense ou plafonner son montant.",
ROUND(IFERROR(VALUE(TRIM(SUBSTITUTE(BF82,CHAR(160),""))),0),2)&gt;
ROUND(IFERROR(VALUE(TRIM(SUBSTITUTE(Z82,CHAR(160),""))),0),2),
"Attention : Le montant retenu HT est supérieur au montant HT présenté. Merci de revoir la ligne de dépense, plafonner son montant, ou justifier la reventillation HT / TVA.",
ROUND(IFERROR(VALUE(TRIM(SUBSTITUTE(BG82,CHAR(160),""))),0),2)&gt;
ROUND(IFERROR(VALUE(TRIM(SUBSTITUTE(AA82,CHAR(160),""))),0),2),
"Attention : Le montant TVA retenu est supérieur au montant TVA présenté. Merci de revoir la ligne de dépense, plafonner son montant, ou justifier la reventillation HT / TVA.",
ROUND(IFERROR(VALUE(TRIM(SUBSTITUTE(AB82,CHAR(160),""))),0),2)=0,
"",
ROUND(IFERROR(VALUE(TRIM(SUBSTITUTE(BH82,CHAR(160),""))),0),2)=
ROUND(IFERROR(VALUE(TRIM(SUBSTITUTE(AB82,CHAR(160),""))),0),2),
"OK",
ROUND(IFERROR(VALUE(TRIM(SUBSTITUTE(BH82,CHAR(160),""))),0),2)=0,
"Attention : Montant présenté entièrement rejeté.",
ROUND(IFERROR(VALUE(TRIM(SUBSTITUTE(BH82,CHAR(160),""))),0),2)&lt;
ROUND(IFERROR(VALUE(TRIM(SUBSTITUTE(AB82,CHAR(160),""))),0),2),
"Attention : Montant présenté partiellement rejeté.",
TRUE,""
))</f>
        <v/>
      </c>
      <c r="BL82" s="773" t="str">
        <f t="shared" si="88"/>
        <v/>
      </c>
      <c r="BM82" s="773" t="str">
        <f t="shared" si="89"/>
        <v/>
      </c>
      <c r="BN82" s="773" t="str">
        <f t="shared" si="90"/>
        <v/>
      </c>
    </row>
    <row r="83" spans="1:66" ht="15" customHeight="1">
      <c r="A83" s="193">
        <v>79</v>
      </c>
      <c r="B83" s="7"/>
      <c r="C83" s="9"/>
      <c r="D83" s="30"/>
      <c r="E83" s="36"/>
      <c r="F83" s="34"/>
      <c r="G83" s="35"/>
      <c r="H83" s="685"/>
      <c r="I83" s="786"/>
      <c r="J83" s="792"/>
      <c r="K83" s="758"/>
      <c r="L83" s="761"/>
      <c r="M83" s="762"/>
      <c r="N83" s="808" t="str">
        <f t="shared" si="61"/>
        <v/>
      </c>
      <c r="O83" s="846"/>
      <c r="P83" s="847"/>
      <c r="Q83" s="762"/>
      <c r="R83" s="762"/>
      <c r="S83" s="808" t="str">
        <f t="shared" si="62"/>
        <v/>
      </c>
      <c r="T83" s="850"/>
      <c r="U83" s="847"/>
      <c r="V83" s="762"/>
      <c r="W83" s="762"/>
      <c r="X83" s="830" t="str">
        <f t="shared" si="63"/>
        <v/>
      </c>
      <c r="Y83" s="246"/>
      <c r="Z83" s="284" t="str" cm="1">
        <f t="array" ref="Z83">IF((_xlfn.IFS(TRIM(SUBSTITUTE(Y83,CHAR(160),""))="Devis 1",IFERROR(VALUE(TRIM(SUBSTITUTE(L83,CHAR(160),""))),0),TRIM(SUBSTITUTE(Y83,CHAR(160),""))="Devis 2",IFERROR(VALUE(TRIM(SUBSTITUTE(Q83,CHAR(160),""))),0),TRIM(SUBSTITUTE(Y83,CHAR(160),""))="Devis 3",IFERROR(VALUE(TRIM(SUBSTITUTE(V83,CHAR(160),""))),0),TRUE,0)*IFERROR(VALUE(TRIM(SUBSTITUTE(C83,CHAR(160),""))),0))=0,"",_xlfn.IFS(TRIM(SUBSTITUTE(Y83,CHAR(160),""))="Devis 1",IFERROR(VALUE(TRIM(SUBSTITUTE(L83,CHAR(160),""))),0),TRIM(SUBSTITUTE(Y83,CHAR(160),""))="Devis 2",IFERROR(VALUE(TRIM(SUBSTITUTE(Q83,CHAR(160),""))),0),TRIM(SUBSTITUTE(Y83,CHAR(160),""))="Devis 3",IFERROR(VALUE(TRIM(SUBSTITUTE(V83,CHAR(160),""))),0),TRUE,0)*IFERROR(VALUE(TRIM(SUBSTITUTE(C83,CHAR(160),""))),0))</f>
        <v/>
      </c>
      <c r="AA83" s="275" t="str" cm="1">
        <f t="array" ref="AA83">IF((_xlfn.IFS(TRIM(SUBSTITUTE(Y83,CHAR(160),""))="Devis 1",IFERROR(VALUE(TRIM(SUBSTITUTE(M83,CHAR(160),""))),0),TRIM(SUBSTITUTE(Y83,CHAR(160),""))="Devis 2",IFERROR(VALUE(TRIM(SUBSTITUTE(R83,CHAR(160),""))),0),TRIM(SUBSTITUTE(Y83,CHAR(160),""))="Devis 3",IFERROR(VALUE(TRIM(SUBSTITUTE(W83,CHAR(160),""))),0),TRUE,0)*IFERROR(VALUE(TRIM(SUBSTITUTE(C83,CHAR(160),""))),0))=0,IF(Z83&lt;&gt;"",0,""),_xlfn.IFS(TRIM(SUBSTITUTE(Y83,CHAR(160),""))="Devis 1",IFERROR(VALUE(TRIM(SUBSTITUTE(M83,CHAR(160),""))),0),TRIM(SUBSTITUTE(Y83,CHAR(160),""))="Devis 2",IFERROR(VALUE(TRIM(SUBSTITUTE(R83,CHAR(160),""))),0),TRIM(SUBSTITUTE(Y83,CHAR(160),""))="Devis 3",IFERROR(VALUE(TRIM(SUBSTITUTE(W83,CHAR(160),""))),0),TRUE,0)*IFERROR(VALUE(TRIM(SUBSTITUTE(C83,CHAR(160),""))),0))</f>
        <v/>
      </c>
      <c r="AB83" s="285" t="str">
        <f t="shared" si="64"/>
        <v/>
      </c>
      <c r="AC83" s="209"/>
      <c r="AD83" s="747" t="str">
        <f t="shared" si="56"/>
        <v/>
      </c>
      <c r="AE83" s="747" t="str">
        <f t="shared" si="57"/>
        <v/>
      </c>
      <c r="AF83" s="747" t="str">
        <f t="shared" si="58"/>
        <v/>
      </c>
      <c r="AG83" s="747" t="str">
        <f t="shared" si="59"/>
        <v/>
      </c>
      <c r="AH83" s="747" t="str">
        <f t="shared" si="60"/>
        <v/>
      </c>
      <c r="AI83" s="747" t="str">
        <f t="shared" si="65"/>
        <v/>
      </c>
      <c r="AJ83" s="747" t="str">
        <f t="shared" si="66"/>
        <v/>
      </c>
      <c r="AK83" s="776" t="str">
        <f t="shared" si="67"/>
        <v/>
      </c>
      <c r="AL83" s="802" t="str">
        <f t="shared" si="68"/>
        <v/>
      </c>
      <c r="AM83" s="747" t="str">
        <f t="shared" si="69"/>
        <v/>
      </c>
      <c r="AN83" s="771" t="str">
        <f t="shared" si="70"/>
        <v/>
      </c>
      <c r="AO83" s="771" t="str">
        <f t="shared" si="71"/>
        <v/>
      </c>
      <c r="AP83" s="808" t="str">
        <f t="shared" si="72"/>
        <v/>
      </c>
      <c r="AQ83" s="819" t="str">
        <f t="shared" si="73"/>
        <v/>
      </c>
      <c r="AR83" s="771" t="str">
        <f t="shared" si="74"/>
        <v/>
      </c>
      <c r="AS83" s="771" t="str">
        <f t="shared" si="75"/>
        <v/>
      </c>
      <c r="AT83" s="771" t="str">
        <f t="shared" si="76"/>
        <v/>
      </c>
      <c r="AU83" s="808" t="str">
        <f t="shared" si="77"/>
        <v/>
      </c>
      <c r="AV83" s="842" t="str">
        <f t="shared" si="78"/>
        <v/>
      </c>
      <c r="AW83" s="771" t="str">
        <f t="shared" si="79"/>
        <v/>
      </c>
      <c r="AX83" s="771" t="str">
        <f t="shared" si="80"/>
        <v/>
      </c>
      <c r="AY83" s="771" t="str">
        <f t="shared" si="81"/>
        <v/>
      </c>
      <c r="AZ83" s="831" t="str">
        <f t="shared" si="82"/>
        <v/>
      </c>
      <c r="BA83" s="835" t="str">
        <f t="shared" si="83"/>
        <v/>
      </c>
      <c r="BB83" s="772"/>
      <c r="BC83" s="275" t="str">
        <f t="shared" si="84"/>
        <v/>
      </c>
      <c r="BD83" s="275" t="str">
        <f t="shared" si="85"/>
        <v/>
      </c>
      <c r="BE83" s="886" t="str">
        <f t="shared" si="86"/>
        <v/>
      </c>
      <c r="BF83" s="873" t="str" cm="1">
        <f t="array" ref="BF83">IF($AE83="","",
_xlfn.IFS(
$BA83="Devis 1",
IF(ISBLANK(AN83),"",IFERROR(VALUE(TRIM(SUBSTITUTE(AN83,CHAR(160),""))),0)*IFERROR(VALUE(TRIM(SUBSTITUTE($AE83,CHAR(160),""))),0)),
$BA83="Devis 2",
IF(ISBLANK(AS83),"",IFERROR(VALUE(TRIM(SUBSTITUTE(AS83,CHAR(160),""))),0)*IFERROR(VALUE(TRIM(SUBSTITUTE($AE83,CHAR(160),""))),0)),
$BA83="Devis 3",
IF(ISBLANK(AX83),"",IFERROR(VALUE(TRIM(SUBSTITUTE(AX83,CHAR(160),""))),0)*IFERROR(VALUE(TRIM(SUBSTITUTE($AE83,CHAR(160),""))),0)),
TRUE,0
)
)</f>
        <v/>
      </c>
      <c r="BG83" s="873" t="str" cm="1">
        <f t="array" ref="BG83">IF($AE83="","",
_xlfn.IFS(
$BA83="Devis 1",
IF(ISBLANK(AO83),"",IFERROR(VALUE(TRIM(SUBSTITUTE(AO83,CHAR(160),""))),0)*IFERROR(VALUE(TRIM(SUBSTITUTE($AE83,CHAR(160),""))),0)),
$BA83="Devis 2",
IF(ISBLANK(AT83),"",IFERROR(VALUE(TRIM(SUBSTITUTE(AT83,CHAR(160),""))),0)*IFERROR(VALUE(TRIM(SUBSTITUTE($AE83,CHAR(160),""))),0)),
$BA83="Devis 3",
IF(ISBLANK(AY83),"",IFERROR(VALUE(TRIM(SUBSTITUTE(AY83,CHAR(160),""))),0)*IFERROR(VALUE(TRIM(SUBSTITUTE($AE83,CHAR(160),""))),0)),
TRUE,0
)
)</f>
        <v/>
      </c>
      <c r="BH83" s="874" t="str">
        <f t="shared" si="87"/>
        <v/>
      </c>
      <c r="BI83" s="866"/>
      <c r="BJ83" s="774" t="str" cm="1">
        <f t="array" ref="BJ83">IF(OR(BH83="",BE83="",BF83="",BC83="",BG83="",BD83=""),"",_xlfn.IFS(
ROUND(IFERROR(VALUE(TRIM(SUBSTITUTE(BH83,CHAR(160),""))),0),2)&gt;
ROUND(IFERROR(VALUE(TRIM(SUBSTITUTE(BE83,CHAR(160),""))),0),2),
"KO : Le montant retenu TTC est supérieur au montant raisonnable TTC. Merci de revoir la ligne de dépense ou plafonner son montant.",
ROUND(IFERROR(VALUE(TRIM(SUBSTITUTE(BF83,CHAR(160),""))),0),2)&gt;
ROUND(IFERROR(VALUE(TRIM(SUBSTITUTE(BC83,CHAR(160),""))),0),2),
"Attention : Le montant retenu HT est supérieur au montant HT raisonnable. Merci de revoir la ligne de dépense, plafonner son montant, ou justifier la reventillation HT / TVA.",
ROUND(IFERROR(VALUE(TRIM(SUBSTITUTE(BG83,CHAR(160),""))),0),2)&gt;
ROUND(IFERROR(VALUE(TRIM(SUBSTITUTE(BD83,CHAR(160),""))),0),2),
"Attention : Le montant TVA retenu est supérieur au montant TVA raisonnable. Merci de revoir la ligne de dépense, plafonner son montant, ou justifier la reventillation HT / TVA.",
ROUND(IFERROR(VALUE(TRIM(SUBSTITUTE(BH83,CHAR(160),""))),0),2)&gt;
ROUND(IFERROR(VALUE(TRIM(SUBSTITUTE(MIN(N83,S83,X83),CHAR(160),""))),0),2),
"Attention : Le devis retenu n'est pas le moins cher. Une justification de la part du porteur est nécessaire.",
ROUND(IFERROR(VALUE(TRIM(SUBSTITUTE(BH83,CHAR(160),""))),0),2)=0,
"Attention : montant présenté entièrement écarté",
ROUND(IFERROR(VALUE(TRIM(SUBSTITUTE(BE83,CHAR(160),""))),0),2)=
ROUND(IFERROR(VALUE(TRIM(SUBSTITUTE(BH83,CHAR(160),""))),0),2),
"OK",
ROUND(IFERROR(VALUE(TRIM(SUBSTITUTE(BE83,CHAR(160),""))),0),2)&gt;
ROUND(IFERROR(VALUE(TRIM(SUBSTITUTE(BH83,CHAR(160),""))),0),2),
" OK : Montant instruit inférieur au montant raisonnable.",
TRUE,""
))</f>
        <v/>
      </c>
      <c r="BK83" s="774" t="str" cm="1">
        <f t="array" ref="BK83">IF(OR(BH83="",AB83="",BF83="",Z83="",BG83="",AA83=""),"",_xlfn.IFS(
ROUND(IFERROR(VALUE(TRIM(SUBSTITUTE(BH83,CHAR(160),""))),0),2)&gt;
ROUND(IFERROR(VALUE(TRIM(SUBSTITUTE(AB83,CHAR(160),""))),0),2),
"KO : Le montant retenu TTC est supérieur au montant présenté TTC. Merci de revoir la ligne de dépense ou plafonner son montant.",
ROUND(IFERROR(VALUE(TRIM(SUBSTITUTE(BF83,CHAR(160),""))),0),2)&gt;
ROUND(IFERROR(VALUE(TRIM(SUBSTITUTE(Z83,CHAR(160),""))),0),2),
"Attention : Le montant retenu HT est supérieur au montant HT présenté. Merci de revoir la ligne de dépense, plafonner son montant, ou justifier la reventillation HT / TVA.",
ROUND(IFERROR(VALUE(TRIM(SUBSTITUTE(BG83,CHAR(160),""))),0),2)&gt;
ROUND(IFERROR(VALUE(TRIM(SUBSTITUTE(AA83,CHAR(160),""))),0),2),
"Attention : Le montant TVA retenu est supérieur au montant TVA présenté. Merci de revoir la ligne de dépense, plafonner son montant, ou justifier la reventillation HT / TVA.",
ROUND(IFERROR(VALUE(TRIM(SUBSTITUTE(AB83,CHAR(160),""))),0),2)=0,
"",
ROUND(IFERROR(VALUE(TRIM(SUBSTITUTE(BH83,CHAR(160),""))),0),2)=
ROUND(IFERROR(VALUE(TRIM(SUBSTITUTE(AB83,CHAR(160),""))),0),2),
"OK",
ROUND(IFERROR(VALUE(TRIM(SUBSTITUTE(BH83,CHAR(160),""))),0),2)=0,
"Attention : Montant présenté entièrement rejeté.",
ROUND(IFERROR(VALUE(TRIM(SUBSTITUTE(BH83,CHAR(160),""))),0),2)&lt;
ROUND(IFERROR(VALUE(TRIM(SUBSTITUTE(AB83,CHAR(160),""))),0),2),
"Attention : Montant présenté partiellement rejeté.",
TRUE,""
))</f>
        <v/>
      </c>
      <c r="BL83" s="773" t="str">
        <f t="shared" si="88"/>
        <v/>
      </c>
      <c r="BM83" s="773" t="str">
        <f t="shared" si="89"/>
        <v/>
      </c>
      <c r="BN83" s="773" t="str">
        <f t="shared" si="90"/>
        <v/>
      </c>
    </row>
    <row r="84" spans="1:66" ht="15" customHeight="1">
      <c r="A84" s="193">
        <v>80</v>
      </c>
      <c r="B84" s="7"/>
      <c r="C84" s="9"/>
      <c r="D84" s="30"/>
      <c r="E84" s="36"/>
      <c r="F84" s="34"/>
      <c r="G84" s="35"/>
      <c r="H84" s="685"/>
      <c r="I84" s="786"/>
      <c r="J84" s="792"/>
      <c r="K84" s="758"/>
      <c r="L84" s="761"/>
      <c r="M84" s="762"/>
      <c r="N84" s="808" t="str">
        <f t="shared" si="61"/>
        <v/>
      </c>
      <c r="O84" s="846"/>
      <c r="P84" s="847"/>
      <c r="Q84" s="762"/>
      <c r="R84" s="762"/>
      <c r="S84" s="808" t="str">
        <f t="shared" si="62"/>
        <v/>
      </c>
      <c r="T84" s="850"/>
      <c r="U84" s="847"/>
      <c r="V84" s="762"/>
      <c r="W84" s="762"/>
      <c r="X84" s="830" t="str">
        <f t="shared" si="63"/>
        <v/>
      </c>
      <c r="Y84" s="246"/>
      <c r="Z84" s="284" t="str" cm="1">
        <f t="array" ref="Z84">IF((_xlfn.IFS(TRIM(SUBSTITUTE(Y84,CHAR(160),""))="Devis 1",IFERROR(VALUE(TRIM(SUBSTITUTE(L84,CHAR(160),""))),0),TRIM(SUBSTITUTE(Y84,CHAR(160),""))="Devis 2",IFERROR(VALUE(TRIM(SUBSTITUTE(Q84,CHAR(160),""))),0),TRIM(SUBSTITUTE(Y84,CHAR(160),""))="Devis 3",IFERROR(VALUE(TRIM(SUBSTITUTE(V84,CHAR(160),""))),0),TRUE,0)*IFERROR(VALUE(TRIM(SUBSTITUTE(C84,CHAR(160),""))),0))=0,"",_xlfn.IFS(TRIM(SUBSTITUTE(Y84,CHAR(160),""))="Devis 1",IFERROR(VALUE(TRIM(SUBSTITUTE(L84,CHAR(160),""))),0),TRIM(SUBSTITUTE(Y84,CHAR(160),""))="Devis 2",IFERROR(VALUE(TRIM(SUBSTITUTE(Q84,CHAR(160),""))),0),TRIM(SUBSTITUTE(Y84,CHAR(160),""))="Devis 3",IFERROR(VALUE(TRIM(SUBSTITUTE(V84,CHAR(160),""))),0),TRUE,0)*IFERROR(VALUE(TRIM(SUBSTITUTE(C84,CHAR(160),""))),0))</f>
        <v/>
      </c>
      <c r="AA84" s="275" t="str" cm="1">
        <f t="array" ref="AA84">IF((_xlfn.IFS(TRIM(SUBSTITUTE(Y84,CHAR(160),""))="Devis 1",IFERROR(VALUE(TRIM(SUBSTITUTE(M84,CHAR(160),""))),0),TRIM(SUBSTITUTE(Y84,CHAR(160),""))="Devis 2",IFERROR(VALUE(TRIM(SUBSTITUTE(R84,CHAR(160),""))),0),TRIM(SUBSTITUTE(Y84,CHAR(160),""))="Devis 3",IFERROR(VALUE(TRIM(SUBSTITUTE(W84,CHAR(160),""))),0),TRUE,0)*IFERROR(VALUE(TRIM(SUBSTITUTE(C84,CHAR(160),""))),0))=0,IF(Z84&lt;&gt;"",0,""),_xlfn.IFS(TRIM(SUBSTITUTE(Y84,CHAR(160),""))="Devis 1",IFERROR(VALUE(TRIM(SUBSTITUTE(M84,CHAR(160),""))),0),TRIM(SUBSTITUTE(Y84,CHAR(160),""))="Devis 2",IFERROR(VALUE(TRIM(SUBSTITUTE(R84,CHAR(160),""))),0),TRIM(SUBSTITUTE(Y84,CHAR(160),""))="Devis 3",IFERROR(VALUE(TRIM(SUBSTITUTE(W84,CHAR(160),""))),0),TRUE,0)*IFERROR(VALUE(TRIM(SUBSTITUTE(C84,CHAR(160),""))),0))</f>
        <v/>
      </c>
      <c r="AB84" s="285" t="str">
        <f t="shared" si="64"/>
        <v/>
      </c>
      <c r="AC84" s="209"/>
      <c r="AD84" s="747" t="str">
        <f t="shared" si="56"/>
        <v/>
      </c>
      <c r="AE84" s="747" t="str">
        <f t="shared" si="57"/>
        <v/>
      </c>
      <c r="AF84" s="747" t="str">
        <f t="shared" si="58"/>
        <v/>
      </c>
      <c r="AG84" s="747" t="str">
        <f t="shared" si="59"/>
        <v/>
      </c>
      <c r="AH84" s="747" t="str">
        <f t="shared" si="60"/>
        <v/>
      </c>
      <c r="AI84" s="747" t="str">
        <f t="shared" si="65"/>
        <v/>
      </c>
      <c r="AJ84" s="747" t="str">
        <f t="shared" si="66"/>
        <v/>
      </c>
      <c r="AK84" s="776" t="str">
        <f t="shared" si="67"/>
        <v/>
      </c>
      <c r="AL84" s="802" t="str">
        <f t="shared" si="68"/>
        <v/>
      </c>
      <c r="AM84" s="747" t="str">
        <f t="shared" si="69"/>
        <v/>
      </c>
      <c r="AN84" s="771" t="str">
        <f t="shared" si="70"/>
        <v/>
      </c>
      <c r="AO84" s="771" t="str">
        <f t="shared" si="71"/>
        <v/>
      </c>
      <c r="AP84" s="808" t="str">
        <f t="shared" si="72"/>
        <v/>
      </c>
      <c r="AQ84" s="819" t="str">
        <f t="shared" si="73"/>
        <v/>
      </c>
      <c r="AR84" s="771" t="str">
        <f t="shared" si="74"/>
        <v/>
      </c>
      <c r="AS84" s="771" t="str">
        <f t="shared" si="75"/>
        <v/>
      </c>
      <c r="AT84" s="771" t="str">
        <f t="shared" si="76"/>
        <v/>
      </c>
      <c r="AU84" s="808" t="str">
        <f t="shared" si="77"/>
        <v/>
      </c>
      <c r="AV84" s="842" t="str">
        <f t="shared" si="78"/>
        <v/>
      </c>
      <c r="AW84" s="771" t="str">
        <f t="shared" si="79"/>
        <v/>
      </c>
      <c r="AX84" s="771" t="str">
        <f t="shared" si="80"/>
        <v/>
      </c>
      <c r="AY84" s="771" t="str">
        <f t="shared" si="81"/>
        <v/>
      </c>
      <c r="AZ84" s="831" t="str">
        <f t="shared" si="82"/>
        <v/>
      </c>
      <c r="BA84" s="835" t="str">
        <f t="shared" si="83"/>
        <v/>
      </c>
      <c r="BB84" s="772"/>
      <c r="BC84" s="275" t="str">
        <f t="shared" si="84"/>
        <v/>
      </c>
      <c r="BD84" s="275" t="str">
        <f t="shared" si="85"/>
        <v/>
      </c>
      <c r="BE84" s="886" t="str">
        <f t="shared" si="86"/>
        <v/>
      </c>
      <c r="BF84" s="873" t="str" cm="1">
        <f t="array" ref="BF84">IF($AE84="","",
_xlfn.IFS(
$BA84="Devis 1",
IF(ISBLANK(AN84),"",IFERROR(VALUE(TRIM(SUBSTITUTE(AN84,CHAR(160),""))),0)*IFERROR(VALUE(TRIM(SUBSTITUTE($AE84,CHAR(160),""))),0)),
$BA84="Devis 2",
IF(ISBLANK(AS84),"",IFERROR(VALUE(TRIM(SUBSTITUTE(AS84,CHAR(160),""))),0)*IFERROR(VALUE(TRIM(SUBSTITUTE($AE84,CHAR(160),""))),0)),
$BA84="Devis 3",
IF(ISBLANK(AX84),"",IFERROR(VALUE(TRIM(SUBSTITUTE(AX84,CHAR(160),""))),0)*IFERROR(VALUE(TRIM(SUBSTITUTE($AE84,CHAR(160),""))),0)),
TRUE,0
)
)</f>
        <v/>
      </c>
      <c r="BG84" s="873" t="str" cm="1">
        <f t="array" ref="BG84">IF($AE84="","",
_xlfn.IFS(
$BA84="Devis 1",
IF(ISBLANK(AO84),"",IFERROR(VALUE(TRIM(SUBSTITUTE(AO84,CHAR(160),""))),0)*IFERROR(VALUE(TRIM(SUBSTITUTE($AE84,CHAR(160),""))),0)),
$BA84="Devis 2",
IF(ISBLANK(AT84),"",IFERROR(VALUE(TRIM(SUBSTITUTE(AT84,CHAR(160),""))),0)*IFERROR(VALUE(TRIM(SUBSTITUTE($AE84,CHAR(160),""))),0)),
$BA84="Devis 3",
IF(ISBLANK(AY84),"",IFERROR(VALUE(TRIM(SUBSTITUTE(AY84,CHAR(160),""))),0)*IFERROR(VALUE(TRIM(SUBSTITUTE($AE84,CHAR(160),""))),0)),
TRUE,0
)
)</f>
        <v/>
      </c>
      <c r="BH84" s="874" t="str">
        <f t="shared" si="87"/>
        <v/>
      </c>
      <c r="BI84" s="866"/>
      <c r="BJ84" s="774" t="str" cm="1">
        <f t="array" ref="BJ84">IF(OR(BH84="",BE84="",BF84="",BC84="",BG84="",BD84=""),"",_xlfn.IFS(
ROUND(IFERROR(VALUE(TRIM(SUBSTITUTE(BH84,CHAR(160),""))),0),2)&gt;
ROUND(IFERROR(VALUE(TRIM(SUBSTITUTE(BE84,CHAR(160),""))),0),2),
"KO : Le montant retenu TTC est supérieur au montant raisonnable TTC. Merci de revoir la ligne de dépense ou plafonner son montant.",
ROUND(IFERROR(VALUE(TRIM(SUBSTITUTE(BF84,CHAR(160),""))),0),2)&gt;
ROUND(IFERROR(VALUE(TRIM(SUBSTITUTE(BC84,CHAR(160),""))),0),2),
"Attention : Le montant retenu HT est supérieur au montant HT raisonnable. Merci de revoir la ligne de dépense, plafonner son montant, ou justifier la reventillation HT / TVA.",
ROUND(IFERROR(VALUE(TRIM(SUBSTITUTE(BG84,CHAR(160),""))),0),2)&gt;
ROUND(IFERROR(VALUE(TRIM(SUBSTITUTE(BD84,CHAR(160),""))),0),2),
"Attention : Le montant TVA retenu est supérieur au montant TVA raisonnable. Merci de revoir la ligne de dépense, plafonner son montant, ou justifier la reventillation HT / TVA.",
ROUND(IFERROR(VALUE(TRIM(SUBSTITUTE(BH84,CHAR(160),""))),0),2)&gt;
ROUND(IFERROR(VALUE(TRIM(SUBSTITUTE(MIN(N84,S84,X84),CHAR(160),""))),0),2),
"Attention : Le devis retenu n'est pas le moins cher. Une justification de la part du porteur est nécessaire.",
ROUND(IFERROR(VALUE(TRIM(SUBSTITUTE(BH84,CHAR(160),""))),0),2)=0,
"Attention : montant présenté entièrement écarté",
ROUND(IFERROR(VALUE(TRIM(SUBSTITUTE(BE84,CHAR(160),""))),0),2)=
ROUND(IFERROR(VALUE(TRIM(SUBSTITUTE(BH84,CHAR(160),""))),0),2),
"OK",
ROUND(IFERROR(VALUE(TRIM(SUBSTITUTE(BE84,CHAR(160),""))),0),2)&gt;
ROUND(IFERROR(VALUE(TRIM(SUBSTITUTE(BH84,CHAR(160),""))),0),2),
" OK : Montant instruit inférieur au montant raisonnable.",
TRUE,""
))</f>
        <v/>
      </c>
      <c r="BK84" s="774" t="str" cm="1">
        <f t="array" ref="BK84">IF(OR(BH84="",AB84="",BF84="",Z84="",BG84="",AA84=""),"",_xlfn.IFS(
ROUND(IFERROR(VALUE(TRIM(SUBSTITUTE(BH84,CHAR(160),""))),0),2)&gt;
ROUND(IFERROR(VALUE(TRIM(SUBSTITUTE(AB84,CHAR(160),""))),0),2),
"KO : Le montant retenu TTC est supérieur au montant présenté TTC. Merci de revoir la ligne de dépense ou plafonner son montant.",
ROUND(IFERROR(VALUE(TRIM(SUBSTITUTE(BF84,CHAR(160),""))),0),2)&gt;
ROUND(IFERROR(VALUE(TRIM(SUBSTITUTE(Z84,CHAR(160),""))),0),2),
"Attention : Le montant retenu HT est supérieur au montant HT présenté. Merci de revoir la ligne de dépense, plafonner son montant, ou justifier la reventillation HT / TVA.",
ROUND(IFERROR(VALUE(TRIM(SUBSTITUTE(BG84,CHAR(160),""))),0),2)&gt;
ROUND(IFERROR(VALUE(TRIM(SUBSTITUTE(AA84,CHAR(160),""))),0),2),
"Attention : Le montant TVA retenu est supérieur au montant TVA présenté. Merci de revoir la ligne de dépense, plafonner son montant, ou justifier la reventillation HT / TVA.",
ROUND(IFERROR(VALUE(TRIM(SUBSTITUTE(AB84,CHAR(160),""))),0),2)=0,
"",
ROUND(IFERROR(VALUE(TRIM(SUBSTITUTE(BH84,CHAR(160),""))),0),2)=
ROUND(IFERROR(VALUE(TRIM(SUBSTITUTE(AB84,CHAR(160),""))),0),2),
"OK",
ROUND(IFERROR(VALUE(TRIM(SUBSTITUTE(BH84,CHAR(160),""))),0),2)=0,
"Attention : Montant présenté entièrement rejeté.",
ROUND(IFERROR(VALUE(TRIM(SUBSTITUTE(BH84,CHAR(160),""))),0),2)&lt;
ROUND(IFERROR(VALUE(TRIM(SUBSTITUTE(AB84,CHAR(160),""))),0),2),
"Attention : Montant présenté partiellement rejeté.",
TRUE,""
))</f>
        <v/>
      </c>
      <c r="BL84" s="773" t="str">
        <f t="shared" si="88"/>
        <v/>
      </c>
      <c r="BM84" s="773" t="str">
        <f t="shared" si="89"/>
        <v/>
      </c>
      <c r="BN84" s="773" t="str">
        <f t="shared" si="90"/>
        <v/>
      </c>
    </row>
    <row r="85" spans="1:66" ht="15" customHeight="1">
      <c r="A85" s="193">
        <v>81</v>
      </c>
      <c r="B85" s="7"/>
      <c r="C85" s="9"/>
      <c r="D85" s="30"/>
      <c r="E85" s="36"/>
      <c r="F85" s="34"/>
      <c r="G85" s="35"/>
      <c r="H85" s="685"/>
      <c r="I85" s="786"/>
      <c r="J85" s="792"/>
      <c r="K85" s="758"/>
      <c r="L85" s="761"/>
      <c r="M85" s="762"/>
      <c r="N85" s="808" t="str">
        <f t="shared" si="61"/>
        <v/>
      </c>
      <c r="O85" s="846"/>
      <c r="P85" s="847"/>
      <c r="Q85" s="762"/>
      <c r="R85" s="762"/>
      <c r="S85" s="808" t="str">
        <f t="shared" si="62"/>
        <v/>
      </c>
      <c r="T85" s="850"/>
      <c r="U85" s="847"/>
      <c r="V85" s="762"/>
      <c r="W85" s="762"/>
      <c r="X85" s="830" t="str">
        <f t="shared" si="63"/>
        <v/>
      </c>
      <c r="Y85" s="246"/>
      <c r="Z85" s="284" t="str" cm="1">
        <f t="array" ref="Z85">IF((_xlfn.IFS(TRIM(SUBSTITUTE(Y85,CHAR(160),""))="Devis 1",IFERROR(VALUE(TRIM(SUBSTITUTE(L85,CHAR(160),""))),0),TRIM(SUBSTITUTE(Y85,CHAR(160),""))="Devis 2",IFERROR(VALUE(TRIM(SUBSTITUTE(Q85,CHAR(160),""))),0),TRIM(SUBSTITUTE(Y85,CHAR(160),""))="Devis 3",IFERROR(VALUE(TRIM(SUBSTITUTE(V85,CHAR(160),""))),0),TRUE,0)*IFERROR(VALUE(TRIM(SUBSTITUTE(C85,CHAR(160),""))),0))=0,"",_xlfn.IFS(TRIM(SUBSTITUTE(Y85,CHAR(160),""))="Devis 1",IFERROR(VALUE(TRIM(SUBSTITUTE(L85,CHAR(160),""))),0),TRIM(SUBSTITUTE(Y85,CHAR(160),""))="Devis 2",IFERROR(VALUE(TRIM(SUBSTITUTE(Q85,CHAR(160),""))),0),TRIM(SUBSTITUTE(Y85,CHAR(160),""))="Devis 3",IFERROR(VALUE(TRIM(SUBSTITUTE(V85,CHAR(160),""))),0),TRUE,0)*IFERROR(VALUE(TRIM(SUBSTITUTE(C85,CHAR(160),""))),0))</f>
        <v/>
      </c>
      <c r="AA85" s="275" t="str" cm="1">
        <f t="array" ref="AA85">IF((_xlfn.IFS(TRIM(SUBSTITUTE(Y85,CHAR(160),""))="Devis 1",IFERROR(VALUE(TRIM(SUBSTITUTE(M85,CHAR(160),""))),0),TRIM(SUBSTITUTE(Y85,CHAR(160),""))="Devis 2",IFERROR(VALUE(TRIM(SUBSTITUTE(R85,CHAR(160),""))),0),TRIM(SUBSTITUTE(Y85,CHAR(160),""))="Devis 3",IFERROR(VALUE(TRIM(SUBSTITUTE(W85,CHAR(160),""))),0),TRUE,0)*IFERROR(VALUE(TRIM(SUBSTITUTE(C85,CHAR(160),""))),0))=0,IF(Z85&lt;&gt;"",0,""),_xlfn.IFS(TRIM(SUBSTITUTE(Y85,CHAR(160),""))="Devis 1",IFERROR(VALUE(TRIM(SUBSTITUTE(M85,CHAR(160),""))),0),TRIM(SUBSTITUTE(Y85,CHAR(160),""))="Devis 2",IFERROR(VALUE(TRIM(SUBSTITUTE(R85,CHAR(160),""))),0),TRIM(SUBSTITUTE(Y85,CHAR(160),""))="Devis 3",IFERROR(VALUE(TRIM(SUBSTITUTE(W85,CHAR(160),""))),0),TRUE,0)*IFERROR(VALUE(TRIM(SUBSTITUTE(C85,CHAR(160),""))),0))</f>
        <v/>
      </c>
      <c r="AB85" s="285" t="str">
        <f t="shared" si="64"/>
        <v/>
      </c>
      <c r="AC85" s="209"/>
      <c r="AD85" s="747" t="str">
        <f t="shared" si="56"/>
        <v/>
      </c>
      <c r="AE85" s="747" t="str">
        <f t="shared" si="57"/>
        <v/>
      </c>
      <c r="AF85" s="747" t="str">
        <f t="shared" si="58"/>
        <v/>
      </c>
      <c r="AG85" s="747" t="str">
        <f t="shared" si="59"/>
        <v/>
      </c>
      <c r="AH85" s="747" t="str">
        <f t="shared" si="60"/>
        <v/>
      </c>
      <c r="AI85" s="747" t="str">
        <f t="shared" si="65"/>
        <v/>
      </c>
      <c r="AJ85" s="747" t="str">
        <f t="shared" si="66"/>
        <v/>
      </c>
      <c r="AK85" s="776" t="str">
        <f t="shared" si="67"/>
        <v/>
      </c>
      <c r="AL85" s="802" t="str">
        <f t="shared" si="68"/>
        <v/>
      </c>
      <c r="AM85" s="747" t="str">
        <f t="shared" si="69"/>
        <v/>
      </c>
      <c r="AN85" s="771" t="str">
        <f t="shared" si="70"/>
        <v/>
      </c>
      <c r="AO85" s="771" t="str">
        <f t="shared" si="71"/>
        <v/>
      </c>
      <c r="AP85" s="808" t="str">
        <f t="shared" si="72"/>
        <v/>
      </c>
      <c r="AQ85" s="819" t="str">
        <f t="shared" si="73"/>
        <v/>
      </c>
      <c r="AR85" s="771" t="str">
        <f t="shared" si="74"/>
        <v/>
      </c>
      <c r="AS85" s="771" t="str">
        <f t="shared" si="75"/>
        <v/>
      </c>
      <c r="AT85" s="771" t="str">
        <f t="shared" si="76"/>
        <v/>
      </c>
      <c r="AU85" s="808" t="str">
        <f t="shared" si="77"/>
        <v/>
      </c>
      <c r="AV85" s="842" t="str">
        <f t="shared" si="78"/>
        <v/>
      </c>
      <c r="AW85" s="771" t="str">
        <f t="shared" si="79"/>
        <v/>
      </c>
      <c r="AX85" s="771" t="str">
        <f t="shared" si="80"/>
        <v/>
      </c>
      <c r="AY85" s="771" t="str">
        <f t="shared" si="81"/>
        <v/>
      </c>
      <c r="AZ85" s="831" t="str">
        <f t="shared" si="82"/>
        <v/>
      </c>
      <c r="BA85" s="835" t="str">
        <f t="shared" si="83"/>
        <v/>
      </c>
      <c r="BB85" s="772"/>
      <c r="BC85" s="275" t="str">
        <f t="shared" si="84"/>
        <v/>
      </c>
      <c r="BD85" s="275" t="str">
        <f t="shared" si="85"/>
        <v/>
      </c>
      <c r="BE85" s="886" t="str">
        <f t="shared" si="86"/>
        <v/>
      </c>
      <c r="BF85" s="873" t="str" cm="1">
        <f t="array" ref="BF85">IF($AE85="","",
_xlfn.IFS(
$BA85="Devis 1",
IF(ISBLANK(AN85),"",IFERROR(VALUE(TRIM(SUBSTITUTE(AN85,CHAR(160),""))),0)*IFERROR(VALUE(TRIM(SUBSTITUTE($AE85,CHAR(160),""))),0)),
$BA85="Devis 2",
IF(ISBLANK(AS85),"",IFERROR(VALUE(TRIM(SUBSTITUTE(AS85,CHAR(160),""))),0)*IFERROR(VALUE(TRIM(SUBSTITUTE($AE85,CHAR(160),""))),0)),
$BA85="Devis 3",
IF(ISBLANK(AX85),"",IFERROR(VALUE(TRIM(SUBSTITUTE(AX85,CHAR(160),""))),0)*IFERROR(VALUE(TRIM(SUBSTITUTE($AE85,CHAR(160),""))),0)),
TRUE,0
)
)</f>
        <v/>
      </c>
      <c r="BG85" s="873" t="str" cm="1">
        <f t="array" ref="BG85">IF($AE85="","",
_xlfn.IFS(
$BA85="Devis 1",
IF(ISBLANK(AO85),"",IFERROR(VALUE(TRIM(SUBSTITUTE(AO85,CHAR(160),""))),0)*IFERROR(VALUE(TRIM(SUBSTITUTE($AE85,CHAR(160),""))),0)),
$BA85="Devis 2",
IF(ISBLANK(AT85),"",IFERROR(VALUE(TRIM(SUBSTITUTE(AT85,CHAR(160),""))),0)*IFERROR(VALUE(TRIM(SUBSTITUTE($AE85,CHAR(160),""))),0)),
$BA85="Devis 3",
IF(ISBLANK(AY85),"",IFERROR(VALUE(TRIM(SUBSTITUTE(AY85,CHAR(160),""))),0)*IFERROR(VALUE(TRIM(SUBSTITUTE($AE85,CHAR(160),""))),0)),
TRUE,0
)
)</f>
        <v/>
      </c>
      <c r="BH85" s="874" t="str">
        <f t="shared" si="87"/>
        <v/>
      </c>
      <c r="BI85" s="866"/>
      <c r="BJ85" s="774" t="str" cm="1">
        <f t="array" ref="BJ85">IF(OR(BH85="",BE85="",BF85="",BC85="",BG85="",BD85=""),"",_xlfn.IFS(
ROUND(IFERROR(VALUE(TRIM(SUBSTITUTE(BH85,CHAR(160),""))),0),2)&gt;
ROUND(IFERROR(VALUE(TRIM(SUBSTITUTE(BE85,CHAR(160),""))),0),2),
"KO : Le montant retenu TTC est supérieur au montant raisonnable TTC. Merci de revoir la ligne de dépense ou plafonner son montant.",
ROUND(IFERROR(VALUE(TRIM(SUBSTITUTE(BF85,CHAR(160),""))),0),2)&gt;
ROUND(IFERROR(VALUE(TRIM(SUBSTITUTE(BC85,CHAR(160),""))),0),2),
"Attention : Le montant retenu HT est supérieur au montant HT raisonnable. Merci de revoir la ligne de dépense, plafonner son montant, ou justifier la reventillation HT / TVA.",
ROUND(IFERROR(VALUE(TRIM(SUBSTITUTE(BG85,CHAR(160),""))),0),2)&gt;
ROUND(IFERROR(VALUE(TRIM(SUBSTITUTE(BD85,CHAR(160),""))),0),2),
"Attention : Le montant TVA retenu est supérieur au montant TVA raisonnable. Merci de revoir la ligne de dépense, plafonner son montant, ou justifier la reventillation HT / TVA.",
ROUND(IFERROR(VALUE(TRIM(SUBSTITUTE(BH85,CHAR(160),""))),0),2)&gt;
ROUND(IFERROR(VALUE(TRIM(SUBSTITUTE(MIN(N85,S85,X85),CHAR(160),""))),0),2),
"Attention : Le devis retenu n'est pas le moins cher. Une justification de la part du porteur est nécessaire.",
ROUND(IFERROR(VALUE(TRIM(SUBSTITUTE(BH85,CHAR(160),""))),0),2)=0,
"Attention : montant présenté entièrement écarté",
ROUND(IFERROR(VALUE(TRIM(SUBSTITUTE(BE85,CHAR(160),""))),0),2)=
ROUND(IFERROR(VALUE(TRIM(SUBSTITUTE(BH85,CHAR(160),""))),0),2),
"OK",
ROUND(IFERROR(VALUE(TRIM(SUBSTITUTE(BE85,CHAR(160),""))),0),2)&gt;
ROUND(IFERROR(VALUE(TRIM(SUBSTITUTE(BH85,CHAR(160),""))),0),2),
" OK : Montant instruit inférieur au montant raisonnable.",
TRUE,""
))</f>
        <v/>
      </c>
      <c r="BK85" s="774" t="str" cm="1">
        <f t="array" ref="BK85">IF(OR(BH85="",AB85="",BF85="",Z85="",BG85="",AA85=""),"",_xlfn.IFS(
ROUND(IFERROR(VALUE(TRIM(SUBSTITUTE(BH85,CHAR(160),""))),0),2)&gt;
ROUND(IFERROR(VALUE(TRIM(SUBSTITUTE(AB85,CHAR(160),""))),0),2),
"KO : Le montant retenu TTC est supérieur au montant présenté TTC. Merci de revoir la ligne de dépense ou plafonner son montant.",
ROUND(IFERROR(VALUE(TRIM(SUBSTITUTE(BF85,CHAR(160),""))),0),2)&gt;
ROUND(IFERROR(VALUE(TRIM(SUBSTITUTE(Z85,CHAR(160),""))),0),2),
"Attention : Le montant retenu HT est supérieur au montant HT présenté. Merci de revoir la ligne de dépense, plafonner son montant, ou justifier la reventillation HT / TVA.",
ROUND(IFERROR(VALUE(TRIM(SUBSTITUTE(BG85,CHAR(160),""))),0),2)&gt;
ROUND(IFERROR(VALUE(TRIM(SUBSTITUTE(AA85,CHAR(160),""))),0),2),
"Attention : Le montant TVA retenu est supérieur au montant TVA présenté. Merci de revoir la ligne de dépense, plafonner son montant, ou justifier la reventillation HT / TVA.",
ROUND(IFERROR(VALUE(TRIM(SUBSTITUTE(AB85,CHAR(160),""))),0),2)=0,
"",
ROUND(IFERROR(VALUE(TRIM(SUBSTITUTE(BH85,CHAR(160),""))),0),2)=
ROUND(IFERROR(VALUE(TRIM(SUBSTITUTE(AB85,CHAR(160),""))),0),2),
"OK",
ROUND(IFERROR(VALUE(TRIM(SUBSTITUTE(BH85,CHAR(160),""))),0),2)=0,
"Attention : Montant présenté entièrement rejeté.",
ROUND(IFERROR(VALUE(TRIM(SUBSTITUTE(BH85,CHAR(160),""))),0),2)&lt;
ROUND(IFERROR(VALUE(TRIM(SUBSTITUTE(AB85,CHAR(160),""))),0),2),
"Attention : Montant présenté partiellement rejeté.",
TRUE,""
))</f>
        <v/>
      </c>
      <c r="BL85" s="773" t="str">
        <f t="shared" si="88"/>
        <v/>
      </c>
      <c r="BM85" s="773" t="str">
        <f t="shared" si="89"/>
        <v/>
      </c>
      <c r="BN85" s="773" t="str">
        <f t="shared" si="90"/>
        <v/>
      </c>
    </row>
    <row r="86" spans="1:66" ht="15" customHeight="1">
      <c r="A86" s="193">
        <v>82</v>
      </c>
      <c r="B86" s="7"/>
      <c r="C86" s="9"/>
      <c r="D86" s="30"/>
      <c r="E86" s="36"/>
      <c r="F86" s="34"/>
      <c r="G86" s="35"/>
      <c r="H86" s="685"/>
      <c r="I86" s="786"/>
      <c r="J86" s="792"/>
      <c r="K86" s="758"/>
      <c r="L86" s="761"/>
      <c r="M86" s="762"/>
      <c r="N86" s="808" t="str">
        <f t="shared" si="61"/>
        <v/>
      </c>
      <c r="O86" s="846"/>
      <c r="P86" s="847"/>
      <c r="Q86" s="762"/>
      <c r="R86" s="762"/>
      <c r="S86" s="808" t="str">
        <f t="shared" si="62"/>
        <v/>
      </c>
      <c r="T86" s="850"/>
      <c r="U86" s="847"/>
      <c r="V86" s="762"/>
      <c r="W86" s="762"/>
      <c r="X86" s="830" t="str">
        <f t="shared" si="63"/>
        <v/>
      </c>
      <c r="Y86" s="246"/>
      <c r="Z86" s="284" t="str" cm="1">
        <f t="array" ref="Z86">IF((_xlfn.IFS(TRIM(SUBSTITUTE(Y86,CHAR(160),""))="Devis 1",IFERROR(VALUE(TRIM(SUBSTITUTE(L86,CHAR(160),""))),0),TRIM(SUBSTITUTE(Y86,CHAR(160),""))="Devis 2",IFERROR(VALUE(TRIM(SUBSTITUTE(Q86,CHAR(160),""))),0),TRIM(SUBSTITUTE(Y86,CHAR(160),""))="Devis 3",IFERROR(VALUE(TRIM(SUBSTITUTE(V86,CHAR(160),""))),0),TRUE,0)*IFERROR(VALUE(TRIM(SUBSTITUTE(C86,CHAR(160),""))),0))=0,"",_xlfn.IFS(TRIM(SUBSTITUTE(Y86,CHAR(160),""))="Devis 1",IFERROR(VALUE(TRIM(SUBSTITUTE(L86,CHAR(160),""))),0),TRIM(SUBSTITUTE(Y86,CHAR(160),""))="Devis 2",IFERROR(VALUE(TRIM(SUBSTITUTE(Q86,CHAR(160),""))),0),TRIM(SUBSTITUTE(Y86,CHAR(160),""))="Devis 3",IFERROR(VALUE(TRIM(SUBSTITUTE(V86,CHAR(160),""))),0),TRUE,0)*IFERROR(VALUE(TRIM(SUBSTITUTE(C86,CHAR(160),""))),0))</f>
        <v/>
      </c>
      <c r="AA86" s="275" t="str" cm="1">
        <f t="array" ref="AA86">IF((_xlfn.IFS(TRIM(SUBSTITUTE(Y86,CHAR(160),""))="Devis 1",IFERROR(VALUE(TRIM(SUBSTITUTE(M86,CHAR(160),""))),0),TRIM(SUBSTITUTE(Y86,CHAR(160),""))="Devis 2",IFERROR(VALUE(TRIM(SUBSTITUTE(R86,CHAR(160),""))),0),TRIM(SUBSTITUTE(Y86,CHAR(160),""))="Devis 3",IFERROR(VALUE(TRIM(SUBSTITUTE(W86,CHAR(160),""))),0),TRUE,0)*IFERROR(VALUE(TRIM(SUBSTITUTE(C86,CHAR(160),""))),0))=0,IF(Z86&lt;&gt;"",0,""),_xlfn.IFS(TRIM(SUBSTITUTE(Y86,CHAR(160),""))="Devis 1",IFERROR(VALUE(TRIM(SUBSTITUTE(M86,CHAR(160),""))),0),TRIM(SUBSTITUTE(Y86,CHAR(160),""))="Devis 2",IFERROR(VALUE(TRIM(SUBSTITUTE(R86,CHAR(160),""))),0),TRIM(SUBSTITUTE(Y86,CHAR(160),""))="Devis 3",IFERROR(VALUE(TRIM(SUBSTITUTE(W86,CHAR(160),""))),0),TRUE,0)*IFERROR(VALUE(TRIM(SUBSTITUTE(C86,CHAR(160),""))),0))</f>
        <v/>
      </c>
      <c r="AB86" s="285" t="str">
        <f t="shared" si="64"/>
        <v/>
      </c>
      <c r="AC86" s="209"/>
      <c r="AD86" s="747" t="str">
        <f t="shared" si="56"/>
        <v/>
      </c>
      <c r="AE86" s="747" t="str">
        <f t="shared" si="57"/>
        <v/>
      </c>
      <c r="AF86" s="747" t="str">
        <f t="shared" si="58"/>
        <v/>
      </c>
      <c r="AG86" s="747" t="str">
        <f t="shared" si="59"/>
        <v/>
      </c>
      <c r="AH86" s="747" t="str">
        <f t="shared" si="60"/>
        <v/>
      </c>
      <c r="AI86" s="747" t="str">
        <f t="shared" si="65"/>
        <v/>
      </c>
      <c r="AJ86" s="747" t="str">
        <f t="shared" si="66"/>
        <v/>
      </c>
      <c r="AK86" s="776" t="str">
        <f t="shared" si="67"/>
        <v/>
      </c>
      <c r="AL86" s="802" t="str">
        <f t="shared" si="68"/>
        <v/>
      </c>
      <c r="AM86" s="747" t="str">
        <f t="shared" si="69"/>
        <v/>
      </c>
      <c r="AN86" s="771" t="str">
        <f t="shared" si="70"/>
        <v/>
      </c>
      <c r="AO86" s="771" t="str">
        <f t="shared" si="71"/>
        <v/>
      </c>
      <c r="AP86" s="808" t="str">
        <f t="shared" si="72"/>
        <v/>
      </c>
      <c r="AQ86" s="819" t="str">
        <f t="shared" si="73"/>
        <v/>
      </c>
      <c r="AR86" s="771" t="str">
        <f t="shared" si="74"/>
        <v/>
      </c>
      <c r="AS86" s="771" t="str">
        <f t="shared" si="75"/>
        <v/>
      </c>
      <c r="AT86" s="771" t="str">
        <f t="shared" si="76"/>
        <v/>
      </c>
      <c r="AU86" s="808" t="str">
        <f t="shared" si="77"/>
        <v/>
      </c>
      <c r="AV86" s="842" t="str">
        <f t="shared" si="78"/>
        <v/>
      </c>
      <c r="AW86" s="771" t="str">
        <f t="shared" si="79"/>
        <v/>
      </c>
      <c r="AX86" s="771" t="str">
        <f t="shared" si="80"/>
        <v/>
      </c>
      <c r="AY86" s="771" t="str">
        <f t="shared" si="81"/>
        <v/>
      </c>
      <c r="AZ86" s="831" t="str">
        <f t="shared" si="82"/>
        <v/>
      </c>
      <c r="BA86" s="835" t="str">
        <f t="shared" si="83"/>
        <v/>
      </c>
      <c r="BB86" s="772"/>
      <c r="BC86" s="275" t="str">
        <f t="shared" si="84"/>
        <v/>
      </c>
      <c r="BD86" s="275" t="str">
        <f t="shared" si="85"/>
        <v/>
      </c>
      <c r="BE86" s="886" t="str">
        <f t="shared" si="86"/>
        <v/>
      </c>
      <c r="BF86" s="873" t="str" cm="1">
        <f t="array" ref="BF86">IF($AE86="","",
_xlfn.IFS(
$BA86="Devis 1",
IF(ISBLANK(AN86),"",IFERROR(VALUE(TRIM(SUBSTITUTE(AN86,CHAR(160),""))),0)*IFERROR(VALUE(TRIM(SUBSTITUTE($AE86,CHAR(160),""))),0)),
$BA86="Devis 2",
IF(ISBLANK(AS86),"",IFERROR(VALUE(TRIM(SUBSTITUTE(AS86,CHAR(160),""))),0)*IFERROR(VALUE(TRIM(SUBSTITUTE($AE86,CHAR(160),""))),0)),
$BA86="Devis 3",
IF(ISBLANK(AX86),"",IFERROR(VALUE(TRIM(SUBSTITUTE(AX86,CHAR(160),""))),0)*IFERROR(VALUE(TRIM(SUBSTITUTE($AE86,CHAR(160),""))),0)),
TRUE,0
)
)</f>
        <v/>
      </c>
      <c r="BG86" s="873" t="str" cm="1">
        <f t="array" ref="BG86">IF($AE86="","",
_xlfn.IFS(
$BA86="Devis 1",
IF(ISBLANK(AO86),"",IFERROR(VALUE(TRIM(SUBSTITUTE(AO86,CHAR(160),""))),0)*IFERROR(VALUE(TRIM(SUBSTITUTE($AE86,CHAR(160),""))),0)),
$BA86="Devis 2",
IF(ISBLANK(AT86),"",IFERROR(VALUE(TRIM(SUBSTITUTE(AT86,CHAR(160),""))),0)*IFERROR(VALUE(TRIM(SUBSTITUTE($AE86,CHAR(160),""))),0)),
$BA86="Devis 3",
IF(ISBLANK(AY86),"",IFERROR(VALUE(TRIM(SUBSTITUTE(AY86,CHAR(160),""))),0)*IFERROR(VALUE(TRIM(SUBSTITUTE($AE86,CHAR(160),""))),0)),
TRUE,0
)
)</f>
        <v/>
      </c>
      <c r="BH86" s="874" t="str">
        <f t="shared" si="87"/>
        <v/>
      </c>
      <c r="BI86" s="866"/>
      <c r="BJ86" s="774" t="str" cm="1">
        <f t="array" ref="BJ86">IF(OR(BH86="",BE86="",BF86="",BC86="",BG86="",BD86=""),"",_xlfn.IFS(
ROUND(IFERROR(VALUE(TRIM(SUBSTITUTE(BH86,CHAR(160),""))),0),2)&gt;
ROUND(IFERROR(VALUE(TRIM(SUBSTITUTE(BE86,CHAR(160),""))),0),2),
"KO : Le montant retenu TTC est supérieur au montant raisonnable TTC. Merci de revoir la ligne de dépense ou plafonner son montant.",
ROUND(IFERROR(VALUE(TRIM(SUBSTITUTE(BF86,CHAR(160),""))),0),2)&gt;
ROUND(IFERROR(VALUE(TRIM(SUBSTITUTE(BC86,CHAR(160),""))),0),2),
"Attention : Le montant retenu HT est supérieur au montant HT raisonnable. Merci de revoir la ligne de dépense, plafonner son montant, ou justifier la reventillation HT / TVA.",
ROUND(IFERROR(VALUE(TRIM(SUBSTITUTE(BG86,CHAR(160),""))),0),2)&gt;
ROUND(IFERROR(VALUE(TRIM(SUBSTITUTE(BD86,CHAR(160),""))),0),2),
"Attention : Le montant TVA retenu est supérieur au montant TVA raisonnable. Merci de revoir la ligne de dépense, plafonner son montant, ou justifier la reventillation HT / TVA.",
ROUND(IFERROR(VALUE(TRIM(SUBSTITUTE(BH86,CHAR(160),""))),0),2)&gt;
ROUND(IFERROR(VALUE(TRIM(SUBSTITUTE(MIN(N86,S86,X86),CHAR(160),""))),0),2),
"Attention : Le devis retenu n'est pas le moins cher. Une justification de la part du porteur est nécessaire.",
ROUND(IFERROR(VALUE(TRIM(SUBSTITUTE(BH86,CHAR(160),""))),0),2)=0,
"Attention : montant présenté entièrement écarté",
ROUND(IFERROR(VALUE(TRIM(SUBSTITUTE(BE86,CHAR(160),""))),0),2)=
ROUND(IFERROR(VALUE(TRIM(SUBSTITUTE(BH86,CHAR(160),""))),0),2),
"OK",
ROUND(IFERROR(VALUE(TRIM(SUBSTITUTE(BE86,CHAR(160),""))),0),2)&gt;
ROUND(IFERROR(VALUE(TRIM(SUBSTITUTE(BH86,CHAR(160),""))),0),2),
" OK : Montant instruit inférieur au montant raisonnable.",
TRUE,""
))</f>
        <v/>
      </c>
      <c r="BK86" s="774" t="str" cm="1">
        <f t="array" ref="BK86">IF(OR(BH86="",AB86="",BF86="",Z86="",BG86="",AA86=""),"",_xlfn.IFS(
ROUND(IFERROR(VALUE(TRIM(SUBSTITUTE(BH86,CHAR(160),""))),0),2)&gt;
ROUND(IFERROR(VALUE(TRIM(SUBSTITUTE(AB86,CHAR(160),""))),0),2),
"KO : Le montant retenu TTC est supérieur au montant présenté TTC. Merci de revoir la ligne de dépense ou plafonner son montant.",
ROUND(IFERROR(VALUE(TRIM(SUBSTITUTE(BF86,CHAR(160),""))),0),2)&gt;
ROUND(IFERROR(VALUE(TRIM(SUBSTITUTE(Z86,CHAR(160),""))),0),2),
"Attention : Le montant retenu HT est supérieur au montant HT présenté. Merci de revoir la ligne de dépense, plafonner son montant, ou justifier la reventillation HT / TVA.",
ROUND(IFERROR(VALUE(TRIM(SUBSTITUTE(BG86,CHAR(160),""))),0),2)&gt;
ROUND(IFERROR(VALUE(TRIM(SUBSTITUTE(AA86,CHAR(160),""))),0),2),
"Attention : Le montant TVA retenu est supérieur au montant TVA présenté. Merci de revoir la ligne de dépense, plafonner son montant, ou justifier la reventillation HT / TVA.",
ROUND(IFERROR(VALUE(TRIM(SUBSTITUTE(AB86,CHAR(160),""))),0),2)=0,
"",
ROUND(IFERROR(VALUE(TRIM(SUBSTITUTE(BH86,CHAR(160),""))),0),2)=
ROUND(IFERROR(VALUE(TRIM(SUBSTITUTE(AB86,CHAR(160),""))),0),2),
"OK",
ROUND(IFERROR(VALUE(TRIM(SUBSTITUTE(BH86,CHAR(160),""))),0),2)=0,
"Attention : Montant présenté entièrement rejeté.",
ROUND(IFERROR(VALUE(TRIM(SUBSTITUTE(BH86,CHAR(160),""))),0),2)&lt;
ROUND(IFERROR(VALUE(TRIM(SUBSTITUTE(AB86,CHAR(160),""))),0),2),
"Attention : Montant présenté partiellement rejeté.",
TRUE,""
))</f>
        <v/>
      </c>
      <c r="BL86" s="773" t="str">
        <f t="shared" si="88"/>
        <v/>
      </c>
      <c r="BM86" s="773" t="str">
        <f t="shared" si="89"/>
        <v/>
      </c>
      <c r="BN86" s="773" t="str">
        <f t="shared" si="90"/>
        <v/>
      </c>
    </row>
    <row r="87" spans="1:66" ht="15" customHeight="1">
      <c r="A87" s="193">
        <v>83</v>
      </c>
      <c r="B87" s="7"/>
      <c r="C87" s="9"/>
      <c r="D87" s="30"/>
      <c r="E87" s="36"/>
      <c r="F87" s="34"/>
      <c r="G87" s="35"/>
      <c r="H87" s="685"/>
      <c r="I87" s="786"/>
      <c r="J87" s="792"/>
      <c r="K87" s="758"/>
      <c r="L87" s="761"/>
      <c r="M87" s="762"/>
      <c r="N87" s="808" t="str">
        <f t="shared" si="61"/>
        <v/>
      </c>
      <c r="O87" s="846"/>
      <c r="P87" s="847"/>
      <c r="Q87" s="762"/>
      <c r="R87" s="762"/>
      <c r="S87" s="808" t="str">
        <f t="shared" si="62"/>
        <v/>
      </c>
      <c r="T87" s="850"/>
      <c r="U87" s="847"/>
      <c r="V87" s="762"/>
      <c r="W87" s="762"/>
      <c r="X87" s="830" t="str">
        <f t="shared" si="63"/>
        <v/>
      </c>
      <c r="Y87" s="246"/>
      <c r="Z87" s="284" t="str" cm="1">
        <f t="array" ref="Z87">IF((_xlfn.IFS(TRIM(SUBSTITUTE(Y87,CHAR(160),""))="Devis 1",IFERROR(VALUE(TRIM(SUBSTITUTE(L87,CHAR(160),""))),0),TRIM(SUBSTITUTE(Y87,CHAR(160),""))="Devis 2",IFERROR(VALUE(TRIM(SUBSTITUTE(Q87,CHAR(160),""))),0),TRIM(SUBSTITUTE(Y87,CHAR(160),""))="Devis 3",IFERROR(VALUE(TRIM(SUBSTITUTE(V87,CHAR(160),""))),0),TRUE,0)*IFERROR(VALUE(TRIM(SUBSTITUTE(C87,CHAR(160),""))),0))=0,"",_xlfn.IFS(TRIM(SUBSTITUTE(Y87,CHAR(160),""))="Devis 1",IFERROR(VALUE(TRIM(SUBSTITUTE(L87,CHAR(160),""))),0),TRIM(SUBSTITUTE(Y87,CHAR(160),""))="Devis 2",IFERROR(VALUE(TRIM(SUBSTITUTE(Q87,CHAR(160),""))),0),TRIM(SUBSTITUTE(Y87,CHAR(160),""))="Devis 3",IFERROR(VALUE(TRIM(SUBSTITUTE(V87,CHAR(160),""))),0),TRUE,0)*IFERROR(VALUE(TRIM(SUBSTITUTE(C87,CHAR(160),""))),0))</f>
        <v/>
      </c>
      <c r="AA87" s="275" t="str" cm="1">
        <f t="array" ref="AA87">IF((_xlfn.IFS(TRIM(SUBSTITUTE(Y87,CHAR(160),""))="Devis 1",IFERROR(VALUE(TRIM(SUBSTITUTE(M87,CHAR(160),""))),0),TRIM(SUBSTITUTE(Y87,CHAR(160),""))="Devis 2",IFERROR(VALUE(TRIM(SUBSTITUTE(R87,CHAR(160),""))),0),TRIM(SUBSTITUTE(Y87,CHAR(160),""))="Devis 3",IFERROR(VALUE(TRIM(SUBSTITUTE(W87,CHAR(160),""))),0),TRUE,0)*IFERROR(VALUE(TRIM(SUBSTITUTE(C87,CHAR(160),""))),0))=0,IF(Z87&lt;&gt;"",0,""),_xlfn.IFS(TRIM(SUBSTITUTE(Y87,CHAR(160),""))="Devis 1",IFERROR(VALUE(TRIM(SUBSTITUTE(M87,CHAR(160),""))),0),TRIM(SUBSTITUTE(Y87,CHAR(160),""))="Devis 2",IFERROR(VALUE(TRIM(SUBSTITUTE(R87,CHAR(160),""))),0),TRIM(SUBSTITUTE(Y87,CHAR(160),""))="Devis 3",IFERROR(VALUE(TRIM(SUBSTITUTE(W87,CHAR(160),""))),0),TRUE,0)*IFERROR(VALUE(TRIM(SUBSTITUTE(C87,CHAR(160),""))),0))</f>
        <v/>
      </c>
      <c r="AB87" s="285" t="str">
        <f t="shared" si="64"/>
        <v/>
      </c>
      <c r="AC87" s="209"/>
      <c r="AD87" s="747" t="str">
        <f t="shared" si="56"/>
        <v/>
      </c>
      <c r="AE87" s="747" t="str">
        <f t="shared" si="57"/>
        <v/>
      </c>
      <c r="AF87" s="747" t="str">
        <f t="shared" si="58"/>
        <v/>
      </c>
      <c r="AG87" s="747" t="str">
        <f t="shared" si="59"/>
        <v/>
      </c>
      <c r="AH87" s="747" t="str">
        <f t="shared" si="60"/>
        <v/>
      </c>
      <c r="AI87" s="747" t="str">
        <f t="shared" si="65"/>
        <v/>
      </c>
      <c r="AJ87" s="747" t="str">
        <f t="shared" si="66"/>
        <v/>
      </c>
      <c r="AK87" s="776" t="str">
        <f t="shared" si="67"/>
        <v/>
      </c>
      <c r="AL87" s="802" t="str">
        <f t="shared" si="68"/>
        <v/>
      </c>
      <c r="AM87" s="747" t="str">
        <f t="shared" si="69"/>
        <v/>
      </c>
      <c r="AN87" s="771" t="str">
        <f t="shared" si="70"/>
        <v/>
      </c>
      <c r="AO87" s="771" t="str">
        <f t="shared" si="71"/>
        <v/>
      </c>
      <c r="AP87" s="808" t="str">
        <f t="shared" si="72"/>
        <v/>
      </c>
      <c r="AQ87" s="819" t="str">
        <f t="shared" si="73"/>
        <v/>
      </c>
      <c r="AR87" s="771" t="str">
        <f t="shared" si="74"/>
        <v/>
      </c>
      <c r="AS87" s="771" t="str">
        <f t="shared" si="75"/>
        <v/>
      </c>
      <c r="AT87" s="771" t="str">
        <f t="shared" si="76"/>
        <v/>
      </c>
      <c r="AU87" s="808" t="str">
        <f t="shared" si="77"/>
        <v/>
      </c>
      <c r="AV87" s="842" t="str">
        <f t="shared" si="78"/>
        <v/>
      </c>
      <c r="AW87" s="771" t="str">
        <f t="shared" si="79"/>
        <v/>
      </c>
      <c r="AX87" s="771" t="str">
        <f t="shared" si="80"/>
        <v/>
      </c>
      <c r="AY87" s="771" t="str">
        <f t="shared" si="81"/>
        <v/>
      </c>
      <c r="AZ87" s="831" t="str">
        <f t="shared" si="82"/>
        <v/>
      </c>
      <c r="BA87" s="835" t="str">
        <f t="shared" si="83"/>
        <v/>
      </c>
      <c r="BB87" s="772"/>
      <c r="BC87" s="275" t="str">
        <f t="shared" si="84"/>
        <v/>
      </c>
      <c r="BD87" s="275" t="str">
        <f t="shared" si="85"/>
        <v/>
      </c>
      <c r="BE87" s="886" t="str">
        <f t="shared" si="86"/>
        <v/>
      </c>
      <c r="BF87" s="873" t="str" cm="1">
        <f t="array" ref="BF87">IF($AE87="","",
_xlfn.IFS(
$BA87="Devis 1",
IF(ISBLANK(AN87),"",IFERROR(VALUE(TRIM(SUBSTITUTE(AN87,CHAR(160),""))),0)*IFERROR(VALUE(TRIM(SUBSTITUTE($AE87,CHAR(160),""))),0)),
$BA87="Devis 2",
IF(ISBLANK(AS87),"",IFERROR(VALUE(TRIM(SUBSTITUTE(AS87,CHAR(160),""))),0)*IFERROR(VALUE(TRIM(SUBSTITUTE($AE87,CHAR(160),""))),0)),
$BA87="Devis 3",
IF(ISBLANK(AX87),"",IFERROR(VALUE(TRIM(SUBSTITUTE(AX87,CHAR(160),""))),0)*IFERROR(VALUE(TRIM(SUBSTITUTE($AE87,CHAR(160),""))),0)),
TRUE,0
)
)</f>
        <v/>
      </c>
      <c r="BG87" s="873" t="str" cm="1">
        <f t="array" ref="BG87">IF($AE87="","",
_xlfn.IFS(
$BA87="Devis 1",
IF(ISBLANK(AO87),"",IFERROR(VALUE(TRIM(SUBSTITUTE(AO87,CHAR(160),""))),0)*IFERROR(VALUE(TRIM(SUBSTITUTE($AE87,CHAR(160),""))),0)),
$BA87="Devis 2",
IF(ISBLANK(AT87),"",IFERROR(VALUE(TRIM(SUBSTITUTE(AT87,CHAR(160),""))),0)*IFERROR(VALUE(TRIM(SUBSTITUTE($AE87,CHAR(160),""))),0)),
$BA87="Devis 3",
IF(ISBLANK(AY87),"",IFERROR(VALUE(TRIM(SUBSTITUTE(AY87,CHAR(160),""))),0)*IFERROR(VALUE(TRIM(SUBSTITUTE($AE87,CHAR(160),""))),0)),
TRUE,0
)
)</f>
        <v/>
      </c>
      <c r="BH87" s="874" t="str">
        <f t="shared" si="87"/>
        <v/>
      </c>
      <c r="BI87" s="866"/>
      <c r="BJ87" s="774" t="str" cm="1">
        <f t="array" ref="BJ87">IF(OR(BH87="",BE87="",BF87="",BC87="",BG87="",BD87=""),"",_xlfn.IFS(
ROUND(IFERROR(VALUE(TRIM(SUBSTITUTE(BH87,CHAR(160),""))),0),2)&gt;
ROUND(IFERROR(VALUE(TRIM(SUBSTITUTE(BE87,CHAR(160),""))),0),2),
"KO : Le montant retenu TTC est supérieur au montant raisonnable TTC. Merci de revoir la ligne de dépense ou plafonner son montant.",
ROUND(IFERROR(VALUE(TRIM(SUBSTITUTE(BF87,CHAR(160),""))),0),2)&gt;
ROUND(IFERROR(VALUE(TRIM(SUBSTITUTE(BC87,CHAR(160),""))),0),2),
"Attention : Le montant retenu HT est supérieur au montant HT raisonnable. Merci de revoir la ligne de dépense, plafonner son montant, ou justifier la reventillation HT / TVA.",
ROUND(IFERROR(VALUE(TRIM(SUBSTITUTE(BG87,CHAR(160),""))),0),2)&gt;
ROUND(IFERROR(VALUE(TRIM(SUBSTITUTE(BD87,CHAR(160),""))),0),2),
"Attention : Le montant TVA retenu est supérieur au montant TVA raisonnable. Merci de revoir la ligne de dépense, plafonner son montant, ou justifier la reventillation HT / TVA.",
ROUND(IFERROR(VALUE(TRIM(SUBSTITUTE(BH87,CHAR(160),""))),0),2)&gt;
ROUND(IFERROR(VALUE(TRIM(SUBSTITUTE(MIN(N87,S87,X87),CHAR(160),""))),0),2),
"Attention : Le devis retenu n'est pas le moins cher. Une justification de la part du porteur est nécessaire.",
ROUND(IFERROR(VALUE(TRIM(SUBSTITUTE(BH87,CHAR(160),""))),0),2)=0,
"Attention : montant présenté entièrement écarté",
ROUND(IFERROR(VALUE(TRIM(SUBSTITUTE(BE87,CHAR(160),""))),0),2)=
ROUND(IFERROR(VALUE(TRIM(SUBSTITUTE(BH87,CHAR(160),""))),0),2),
"OK",
ROUND(IFERROR(VALUE(TRIM(SUBSTITUTE(BE87,CHAR(160),""))),0),2)&gt;
ROUND(IFERROR(VALUE(TRIM(SUBSTITUTE(BH87,CHAR(160),""))),0),2),
" OK : Montant instruit inférieur au montant raisonnable.",
TRUE,""
))</f>
        <v/>
      </c>
      <c r="BK87" s="774" t="str" cm="1">
        <f t="array" ref="BK87">IF(OR(BH87="",AB87="",BF87="",Z87="",BG87="",AA87=""),"",_xlfn.IFS(
ROUND(IFERROR(VALUE(TRIM(SUBSTITUTE(BH87,CHAR(160),""))),0),2)&gt;
ROUND(IFERROR(VALUE(TRIM(SUBSTITUTE(AB87,CHAR(160),""))),0),2),
"KO : Le montant retenu TTC est supérieur au montant présenté TTC. Merci de revoir la ligne de dépense ou plafonner son montant.",
ROUND(IFERROR(VALUE(TRIM(SUBSTITUTE(BF87,CHAR(160),""))),0),2)&gt;
ROUND(IFERROR(VALUE(TRIM(SUBSTITUTE(Z87,CHAR(160),""))),0),2),
"Attention : Le montant retenu HT est supérieur au montant HT présenté. Merci de revoir la ligne de dépense, plafonner son montant, ou justifier la reventillation HT / TVA.",
ROUND(IFERROR(VALUE(TRIM(SUBSTITUTE(BG87,CHAR(160),""))),0),2)&gt;
ROUND(IFERROR(VALUE(TRIM(SUBSTITUTE(AA87,CHAR(160),""))),0),2),
"Attention : Le montant TVA retenu est supérieur au montant TVA présenté. Merci de revoir la ligne de dépense, plafonner son montant, ou justifier la reventillation HT / TVA.",
ROUND(IFERROR(VALUE(TRIM(SUBSTITUTE(AB87,CHAR(160),""))),0),2)=0,
"",
ROUND(IFERROR(VALUE(TRIM(SUBSTITUTE(BH87,CHAR(160),""))),0),2)=
ROUND(IFERROR(VALUE(TRIM(SUBSTITUTE(AB87,CHAR(160),""))),0),2),
"OK",
ROUND(IFERROR(VALUE(TRIM(SUBSTITUTE(BH87,CHAR(160),""))),0),2)=0,
"Attention : Montant présenté entièrement rejeté.",
ROUND(IFERROR(VALUE(TRIM(SUBSTITUTE(BH87,CHAR(160),""))),0),2)&lt;
ROUND(IFERROR(VALUE(TRIM(SUBSTITUTE(AB87,CHAR(160),""))),0),2),
"Attention : Montant présenté partiellement rejeté.",
TRUE,""
))</f>
        <v/>
      </c>
      <c r="BL87" s="773" t="str">
        <f t="shared" si="88"/>
        <v/>
      </c>
      <c r="BM87" s="773" t="str">
        <f t="shared" si="89"/>
        <v/>
      </c>
      <c r="BN87" s="773" t="str">
        <f t="shared" si="90"/>
        <v/>
      </c>
    </row>
    <row r="88" spans="1:66" ht="15" customHeight="1">
      <c r="A88" s="193">
        <v>84</v>
      </c>
      <c r="B88" s="7"/>
      <c r="C88" s="9"/>
      <c r="D88" s="30"/>
      <c r="E88" s="36"/>
      <c r="F88" s="34"/>
      <c r="G88" s="35"/>
      <c r="H88" s="685"/>
      <c r="I88" s="786"/>
      <c r="J88" s="792"/>
      <c r="K88" s="758"/>
      <c r="L88" s="761"/>
      <c r="M88" s="762"/>
      <c r="N88" s="808" t="str">
        <f t="shared" si="61"/>
        <v/>
      </c>
      <c r="O88" s="846"/>
      <c r="P88" s="847"/>
      <c r="Q88" s="762"/>
      <c r="R88" s="762"/>
      <c r="S88" s="808" t="str">
        <f t="shared" si="62"/>
        <v/>
      </c>
      <c r="T88" s="850"/>
      <c r="U88" s="847"/>
      <c r="V88" s="762"/>
      <c r="W88" s="762"/>
      <c r="X88" s="830" t="str">
        <f t="shared" si="63"/>
        <v/>
      </c>
      <c r="Y88" s="246"/>
      <c r="Z88" s="284" t="str" cm="1">
        <f t="array" ref="Z88">IF((_xlfn.IFS(TRIM(SUBSTITUTE(Y88,CHAR(160),""))="Devis 1",IFERROR(VALUE(TRIM(SUBSTITUTE(L88,CHAR(160),""))),0),TRIM(SUBSTITUTE(Y88,CHAR(160),""))="Devis 2",IFERROR(VALUE(TRIM(SUBSTITUTE(Q88,CHAR(160),""))),0),TRIM(SUBSTITUTE(Y88,CHAR(160),""))="Devis 3",IFERROR(VALUE(TRIM(SUBSTITUTE(V88,CHAR(160),""))),0),TRUE,0)*IFERROR(VALUE(TRIM(SUBSTITUTE(C88,CHAR(160),""))),0))=0,"",_xlfn.IFS(TRIM(SUBSTITUTE(Y88,CHAR(160),""))="Devis 1",IFERROR(VALUE(TRIM(SUBSTITUTE(L88,CHAR(160),""))),0),TRIM(SUBSTITUTE(Y88,CHAR(160),""))="Devis 2",IFERROR(VALUE(TRIM(SUBSTITUTE(Q88,CHAR(160),""))),0),TRIM(SUBSTITUTE(Y88,CHAR(160),""))="Devis 3",IFERROR(VALUE(TRIM(SUBSTITUTE(V88,CHAR(160),""))),0),TRUE,0)*IFERROR(VALUE(TRIM(SUBSTITUTE(C88,CHAR(160),""))),0))</f>
        <v/>
      </c>
      <c r="AA88" s="275" t="str" cm="1">
        <f t="array" ref="AA88">IF((_xlfn.IFS(TRIM(SUBSTITUTE(Y88,CHAR(160),""))="Devis 1",IFERROR(VALUE(TRIM(SUBSTITUTE(M88,CHAR(160),""))),0),TRIM(SUBSTITUTE(Y88,CHAR(160),""))="Devis 2",IFERROR(VALUE(TRIM(SUBSTITUTE(R88,CHAR(160),""))),0),TRIM(SUBSTITUTE(Y88,CHAR(160),""))="Devis 3",IFERROR(VALUE(TRIM(SUBSTITUTE(W88,CHAR(160),""))),0),TRUE,0)*IFERROR(VALUE(TRIM(SUBSTITUTE(C88,CHAR(160),""))),0))=0,IF(Z88&lt;&gt;"",0,""),_xlfn.IFS(TRIM(SUBSTITUTE(Y88,CHAR(160),""))="Devis 1",IFERROR(VALUE(TRIM(SUBSTITUTE(M88,CHAR(160),""))),0),TRIM(SUBSTITUTE(Y88,CHAR(160),""))="Devis 2",IFERROR(VALUE(TRIM(SUBSTITUTE(R88,CHAR(160),""))),0),TRIM(SUBSTITUTE(Y88,CHAR(160),""))="Devis 3",IFERROR(VALUE(TRIM(SUBSTITUTE(W88,CHAR(160),""))),0),TRUE,0)*IFERROR(VALUE(TRIM(SUBSTITUTE(C88,CHAR(160),""))),0))</f>
        <v/>
      </c>
      <c r="AB88" s="285" t="str">
        <f t="shared" si="64"/>
        <v/>
      </c>
      <c r="AC88" s="209"/>
      <c r="AD88" s="747" t="str">
        <f t="shared" si="56"/>
        <v/>
      </c>
      <c r="AE88" s="747" t="str">
        <f t="shared" si="57"/>
        <v/>
      </c>
      <c r="AF88" s="747" t="str">
        <f t="shared" si="58"/>
        <v/>
      </c>
      <c r="AG88" s="747" t="str">
        <f t="shared" si="59"/>
        <v/>
      </c>
      <c r="AH88" s="747" t="str">
        <f t="shared" si="60"/>
        <v/>
      </c>
      <c r="AI88" s="747" t="str">
        <f t="shared" si="65"/>
        <v/>
      </c>
      <c r="AJ88" s="747" t="str">
        <f t="shared" si="66"/>
        <v/>
      </c>
      <c r="AK88" s="776" t="str">
        <f t="shared" si="67"/>
        <v/>
      </c>
      <c r="AL88" s="802" t="str">
        <f t="shared" si="68"/>
        <v/>
      </c>
      <c r="AM88" s="747" t="str">
        <f t="shared" si="69"/>
        <v/>
      </c>
      <c r="AN88" s="771" t="str">
        <f t="shared" si="70"/>
        <v/>
      </c>
      <c r="AO88" s="771" t="str">
        <f t="shared" si="71"/>
        <v/>
      </c>
      <c r="AP88" s="808" t="str">
        <f t="shared" si="72"/>
        <v/>
      </c>
      <c r="AQ88" s="819" t="str">
        <f t="shared" si="73"/>
        <v/>
      </c>
      <c r="AR88" s="771" t="str">
        <f t="shared" si="74"/>
        <v/>
      </c>
      <c r="AS88" s="771" t="str">
        <f t="shared" si="75"/>
        <v/>
      </c>
      <c r="AT88" s="771" t="str">
        <f t="shared" si="76"/>
        <v/>
      </c>
      <c r="AU88" s="808" t="str">
        <f t="shared" si="77"/>
        <v/>
      </c>
      <c r="AV88" s="842" t="str">
        <f t="shared" si="78"/>
        <v/>
      </c>
      <c r="AW88" s="771" t="str">
        <f t="shared" si="79"/>
        <v/>
      </c>
      <c r="AX88" s="771" t="str">
        <f t="shared" si="80"/>
        <v/>
      </c>
      <c r="AY88" s="771" t="str">
        <f t="shared" si="81"/>
        <v/>
      </c>
      <c r="AZ88" s="831" t="str">
        <f t="shared" si="82"/>
        <v/>
      </c>
      <c r="BA88" s="835" t="str">
        <f t="shared" si="83"/>
        <v/>
      </c>
      <c r="BB88" s="772"/>
      <c r="BC88" s="275" t="str">
        <f t="shared" si="84"/>
        <v/>
      </c>
      <c r="BD88" s="275" t="str">
        <f t="shared" si="85"/>
        <v/>
      </c>
      <c r="BE88" s="886" t="str">
        <f t="shared" si="86"/>
        <v/>
      </c>
      <c r="BF88" s="873" t="str" cm="1">
        <f t="array" ref="BF88">IF($AE88="","",
_xlfn.IFS(
$BA88="Devis 1",
IF(ISBLANK(AN88),"",IFERROR(VALUE(TRIM(SUBSTITUTE(AN88,CHAR(160),""))),0)*IFERROR(VALUE(TRIM(SUBSTITUTE($AE88,CHAR(160),""))),0)),
$BA88="Devis 2",
IF(ISBLANK(AS88),"",IFERROR(VALUE(TRIM(SUBSTITUTE(AS88,CHAR(160),""))),0)*IFERROR(VALUE(TRIM(SUBSTITUTE($AE88,CHAR(160),""))),0)),
$BA88="Devis 3",
IF(ISBLANK(AX88),"",IFERROR(VALUE(TRIM(SUBSTITUTE(AX88,CHAR(160),""))),0)*IFERROR(VALUE(TRIM(SUBSTITUTE($AE88,CHAR(160),""))),0)),
TRUE,0
)
)</f>
        <v/>
      </c>
      <c r="BG88" s="873" t="str" cm="1">
        <f t="array" ref="BG88">IF($AE88="","",
_xlfn.IFS(
$BA88="Devis 1",
IF(ISBLANK(AO88),"",IFERROR(VALUE(TRIM(SUBSTITUTE(AO88,CHAR(160),""))),0)*IFERROR(VALUE(TRIM(SUBSTITUTE($AE88,CHAR(160),""))),0)),
$BA88="Devis 2",
IF(ISBLANK(AT88),"",IFERROR(VALUE(TRIM(SUBSTITUTE(AT88,CHAR(160),""))),0)*IFERROR(VALUE(TRIM(SUBSTITUTE($AE88,CHAR(160),""))),0)),
$BA88="Devis 3",
IF(ISBLANK(AY88),"",IFERROR(VALUE(TRIM(SUBSTITUTE(AY88,CHAR(160),""))),0)*IFERROR(VALUE(TRIM(SUBSTITUTE($AE88,CHAR(160),""))),0)),
TRUE,0
)
)</f>
        <v/>
      </c>
      <c r="BH88" s="874" t="str">
        <f t="shared" si="87"/>
        <v/>
      </c>
      <c r="BI88" s="866"/>
      <c r="BJ88" s="774" t="str" cm="1">
        <f t="array" ref="BJ88">IF(OR(BH88="",BE88="",BF88="",BC88="",BG88="",BD88=""),"",_xlfn.IFS(
ROUND(IFERROR(VALUE(TRIM(SUBSTITUTE(BH88,CHAR(160),""))),0),2)&gt;
ROUND(IFERROR(VALUE(TRIM(SUBSTITUTE(BE88,CHAR(160),""))),0),2),
"KO : Le montant retenu TTC est supérieur au montant raisonnable TTC. Merci de revoir la ligne de dépense ou plafonner son montant.",
ROUND(IFERROR(VALUE(TRIM(SUBSTITUTE(BF88,CHAR(160),""))),0),2)&gt;
ROUND(IFERROR(VALUE(TRIM(SUBSTITUTE(BC88,CHAR(160),""))),0),2),
"Attention : Le montant retenu HT est supérieur au montant HT raisonnable. Merci de revoir la ligne de dépense, plafonner son montant, ou justifier la reventillation HT / TVA.",
ROUND(IFERROR(VALUE(TRIM(SUBSTITUTE(BG88,CHAR(160),""))),0),2)&gt;
ROUND(IFERROR(VALUE(TRIM(SUBSTITUTE(BD88,CHAR(160),""))),0),2),
"Attention : Le montant TVA retenu est supérieur au montant TVA raisonnable. Merci de revoir la ligne de dépense, plafonner son montant, ou justifier la reventillation HT / TVA.",
ROUND(IFERROR(VALUE(TRIM(SUBSTITUTE(BH88,CHAR(160),""))),0),2)&gt;
ROUND(IFERROR(VALUE(TRIM(SUBSTITUTE(MIN(N88,S88,X88),CHAR(160),""))),0),2),
"Attention : Le devis retenu n'est pas le moins cher. Une justification de la part du porteur est nécessaire.",
ROUND(IFERROR(VALUE(TRIM(SUBSTITUTE(BH88,CHAR(160),""))),0),2)=0,
"Attention : montant présenté entièrement écarté",
ROUND(IFERROR(VALUE(TRIM(SUBSTITUTE(BE88,CHAR(160),""))),0),2)=
ROUND(IFERROR(VALUE(TRIM(SUBSTITUTE(BH88,CHAR(160),""))),0),2),
"OK",
ROUND(IFERROR(VALUE(TRIM(SUBSTITUTE(BE88,CHAR(160),""))),0),2)&gt;
ROUND(IFERROR(VALUE(TRIM(SUBSTITUTE(BH88,CHAR(160),""))),0),2),
" OK : Montant instruit inférieur au montant raisonnable.",
TRUE,""
))</f>
        <v/>
      </c>
      <c r="BK88" s="774" t="str" cm="1">
        <f t="array" ref="BK88">IF(OR(BH88="",AB88="",BF88="",Z88="",BG88="",AA88=""),"",_xlfn.IFS(
ROUND(IFERROR(VALUE(TRIM(SUBSTITUTE(BH88,CHAR(160),""))),0),2)&gt;
ROUND(IFERROR(VALUE(TRIM(SUBSTITUTE(AB88,CHAR(160),""))),0),2),
"KO : Le montant retenu TTC est supérieur au montant présenté TTC. Merci de revoir la ligne de dépense ou plafonner son montant.",
ROUND(IFERROR(VALUE(TRIM(SUBSTITUTE(BF88,CHAR(160),""))),0),2)&gt;
ROUND(IFERROR(VALUE(TRIM(SUBSTITUTE(Z88,CHAR(160),""))),0),2),
"Attention : Le montant retenu HT est supérieur au montant HT présenté. Merci de revoir la ligne de dépense, plafonner son montant, ou justifier la reventillation HT / TVA.",
ROUND(IFERROR(VALUE(TRIM(SUBSTITUTE(BG88,CHAR(160),""))),0),2)&gt;
ROUND(IFERROR(VALUE(TRIM(SUBSTITUTE(AA88,CHAR(160),""))),0),2),
"Attention : Le montant TVA retenu est supérieur au montant TVA présenté. Merci de revoir la ligne de dépense, plafonner son montant, ou justifier la reventillation HT / TVA.",
ROUND(IFERROR(VALUE(TRIM(SUBSTITUTE(AB88,CHAR(160),""))),0),2)=0,
"",
ROUND(IFERROR(VALUE(TRIM(SUBSTITUTE(BH88,CHAR(160),""))),0),2)=
ROUND(IFERROR(VALUE(TRIM(SUBSTITUTE(AB88,CHAR(160),""))),0),2),
"OK",
ROUND(IFERROR(VALUE(TRIM(SUBSTITUTE(BH88,CHAR(160),""))),0),2)=0,
"Attention : Montant présenté entièrement rejeté.",
ROUND(IFERROR(VALUE(TRIM(SUBSTITUTE(BH88,CHAR(160),""))),0),2)&lt;
ROUND(IFERROR(VALUE(TRIM(SUBSTITUTE(AB88,CHAR(160),""))),0),2),
"Attention : Montant présenté partiellement rejeté.",
TRUE,""
))</f>
        <v/>
      </c>
      <c r="BL88" s="773" t="str">
        <f t="shared" si="88"/>
        <v/>
      </c>
      <c r="BM88" s="773" t="str">
        <f t="shared" si="89"/>
        <v/>
      </c>
      <c r="BN88" s="773" t="str">
        <f t="shared" si="90"/>
        <v/>
      </c>
    </row>
    <row r="89" spans="1:66" ht="15" customHeight="1">
      <c r="A89" s="193">
        <v>85</v>
      </c>
      <c r="B89" s="7"/>
      <c r="C89" s="9"/>
      <c r="D89" s="30"/>
      <c r="E89" s="36"/>
      <c r="F89" s="34"/>
      <c r="G89" s="35"/>
      <c r="H89" s="685"/>
      <c r="I89" s="786"/>
      <c r="J89" s="792"/>
      <c r="K89" s="758"/>
      <c r="L89" s="761"/>
      <c r="M89" s="762"/>
      <c r="N89" s="808" t="str">
        <f t="shared" si="61"/>
        <v/>
      </c>
      <c r="O89" s="846"/>
      <c r="P89" s="847"/>
      <c r="Q89" s="762"/>
      <c r="R89" s="762"/>
      <c r="S89" s="808" t="str">
        <f t="shared" si="62"/>
        <v/>
      </c>
      <c r="T89" s="850"/>
      <c r="U89" s="847"/>
      <c r="V89" s="762"/>
      <c r="W89" s="762"/>
      <c r="X89" s="830" t="str">
        <f t="shared" si="63"/>
        <v/>
      </c>
      <c r="Y89" s="246"/>
      <c r="Z89" s="284" t="str" cm="1">
        <f t="array" ref="Z89">IF((_xlfn.IFS(TRIM(SUBSTITUTE(Y89,CHAR(160),""))="Devis 1",IFERROR(VALUE(TRIM(SUBSTITUTE(L89,CHAR(160),""))),0),TRIM(SUBSTITUTE(Y89,CHAR(160),""))="Devis 2",IFERROR(VALUE(TRIM(SUBSTITUTE(Q89,CHAR(160),""))),0),TRIM(SUBSTITUTE(Y89,CHAR(160),""))="Devis 3",IFERROR(VALUE(TRIM(SUBSTITUTE(V89,CHAR(160),""))),0),TRUE,0)*IFERROR(VALUE(TRIM(SUBSTITUTE(C89,CHAR(160),""))),0))=0,"",_xlfn.IFS(TRIM(SUBSTITUTE(Y89,CHAR(160),""))="Devis 1",IFERROR(VALUE(TRIM(SUBSTITUTE(L89,CHAR(160),""))),0),TRIM(SUBSTITUTE(Y89,CHAR(160),""))="Devis 2",IFERROR(VALUE(TRIM(SUBSTITUTE(Q89,CHAR(160),""))),0),TRIM(SUBSTITUTE(Y89,CHAR(160),""))="Devis 3",IFERROR(VALUE(TRIM(SUBSTITUTE(V89,CHAR(160),""))),0),TRUE,0)*IFERROR(VALUE(TRIM(SUBSTITUTE(C89,CHAR(160),""))),0))</f>
        <v/>
      </c>
      <c r="AA89" s="275" t="str" cm="1">
        <f t="array" ref="AA89">IF((_xlfn.IFS(TRIM(SUBSTITUTE(Y89,CHAR(160),""))="Devis 1",IFERROR(VALUE(TRIM(SUBSTITUTE(M89,CHAR(160),""))),0),TRIM(SUBSTITUTE(Y89,CHAR(160),""))="Devis 2",IFERROR(VALUE(TRIM(SUBSTITUTE(R89,CHAR(160),""))),0),TRIM(SUBSTITUTE(Y89,CHAR(160),""))="Devis 3",IFERROR(VALUE(TRIM(SUBSTITUTE(W89,CHAR(160),""))),0),TRUE,0)*IFERROR(VALUE(TRIM(SUBSTITUTE(C89,CHAR(160),""))),0))=0,IF(Z89&lt;&gt;"",0,""),_xlfn.IFS(TRIM(SUBSTITUTE(Y89,CHAR(160),""))="Devis 1",IFERROR(VALUE(TRIM(SUBSTITUTE(M89,CHAR(160),""))),0),TRIM(SUBSTITUTE(Y89,CHAR(160),""))="Devis 2",IFERROR(VALUE(TRIM(SUBSTITUTE(R89,CHAR(160),""))),0),TRIM(SUBSTITUTE(Y89,CHAR(160),""))="Devis 3",IFERROR(VALUE(TRIM(SUBSTITUTE(W89,CHAR(160),""))),0),TRUE,0)*IFERROR(VALUE(TRIM(SUBSTITUTE(C89,CHAR(160),""))),0))</f>
        <v/>
      </c>
      <c r="AB89" s="285" t="str">
        <f t="shared" si="64"/>
        <v/>
      </c>
      <c r="AC89" s="209"/>
      <c r="AD89" s="747" t="str">
        <f t="shared" si="56"/>
        <v/>
      </c>
      <c r="AE89" s="747" t="str">
        <f t="shared" si="57"/>
        <v/>
      </c>
      <c r="AF89" s="747" t="str">
        <f t="shared" si="58"/>
        <v/>
      </c>
      <c r="AG89" s="747" t="str">
        <f t="shared" si="59"/>
        <v/>
      </c>
      <c r="AH89" s="747" t="str">
        <f t="shared" si="60"/>
        <v/>
      </c>
      <c r="AI89" s="747" t="str">
        <f t="shared" si="65"/>
        <v/>
      </c>
      <c r="AJ89" s="747" t="str">
        <f t="shared" si="66"/>
        <v/>
      </c>
      <c r="AK89" s="776" t="str">
        <f t="shared" si="67"/>
        <v/>
      </c>
      <c r="AL89" s="802" t="str">
        <f t="shared" si="68"/>
        <v/>
      </c>
      <c r="AM89" s="747" t="str">
        <f t="shared" si="69"/>
        <v/>
      </c>
      <c r="AN89" s="771" t="str">
        <f t="shared" si="70"/>
        <v/>
      </c>
      <c r="AO89" s="771" t="str">
        <f t="shared" si="71"/>
        <v/>
      </c>
      <c r="AP89" s="808" t="str">
        <f t="shared" si="72"/>
        <v/>
      </c>
      <c r="AQ89" s="819" t="str">
        <f t="shared" si="73"/>
        <v/>
      </c>
      <c r="AR89" s="771" t="str">
        <f t="shared" si="74"/>
        <v/>
      </c>
      <c r="AS89" s="771" t="str">
        <f t="shared" si="75"/>
        <v/>
      </c>
      <c r="AT89" s="771" t="str">
        <f t="shared" si="76"/>
        <v/>
      </c>
      <c r="AU89" s="808" t="str">
        <f t="shared" si="77"/>
        <v/>
      </c>
      <c r="AV89" s="842" t="str">
        <f t="shared" si="78"/>
        <v/>
      </c>
      <c r="AW89" s="771" t="str">
        <f t="shared" si="79"/>
        <v/>
      </c>
      <c r="AX89" s="771" t="str">
        <f t="shared" si="80"/>
        <v/>
      </c>
      <c r="AY89" s="771" t="str">
        <f t="shared" si="81"/>
        <v/>
      </c>
      <c r="AZ89" s="831" t="str">
        <f t="shared" si="82"/>
        <v/>
      </c>
      <c r="BA89" s="835" t="str">
        <f t="shared" si="83"/>
        <v/>
      </c>
      <c r="BB89" s="772"/>
      <c r="BC89" s="275" t="str">
        <f t="shared" si="84"/>
        <v/>
      </c>
      <c r="BD89" s="275" t="str">
        <f t="shared" si="85"/>
        <v/>
      </c>
      <c r="BE89" s="886" t="str">
        <f t="shared" si="86"/>
        <v/>
      </c>
      <c r="BF89" s="873" t="str" cm="1">
        <f t="array" ref="BF89">IF($AE89="","",
_xlfn.IFS(
$BA89="Devis 1",
IF(ISBLANK(AN89),"",IFERROR(VALUE(TRIM(SUBSTITUTE(AN89,CHAR(160),""))),0)*IFERROR(VALUE(TRIM(SUBSTITUTE($AE89,CHAR(160),""))),0)),
$BA89="Devis 2",
IF(ISBLANK(AS89),"",IFERROR(VALUE(TRIM(SUBSTITUTE(AS89,CHAR(160),""))),0)*IFERROR(VALUE(TRIM(SUBSTITUTE($AE89,CHAR(160),""))),0)),
$BA89="Devis 3",
IF(ISBLANK(AX89),"",IFERROR(VALUE(TRIM(SUBSTITUTE(AX89,CHAR(160),""))),0)*IFERROR(VALUE(TRIM(SUBSTITUTE($AE89,CHAR(160),""))),0)),
TRUE,0
)
)</f>
        <v/>
      </c>
      <c r="BG89" s="873" t="str" cm="1">
        <f t="array" ref="BG89">IF($AE89="","",
_xlfn.IFS(
$BA89="Devis 1",
IF(ISBLANK(AO89),"",IFERROR(VALUE(TRIM(SUBSTITUTE(AO89,CHAR(160),""))),0)*IFERROR(VALUE(TRIM(SUBSTITUTE($AE89,CHAR(160),""))),0)),
$BA89="Devis 2",
IF(ISBLANK(AT89),"",IFERROR(VALUE(TRIM(SUBSTITUTE(AT89,CHAR(160),""))),0)*IFERROR(VALUE(TRIM(SUBSTITUTE($AE89,CHAR(160),""))),0)),
$BA89="Devis 3",
IF(ISBLANK(AY89),"",IFERROR(VALUE(TRIM(SUBSTITUTE(AY89,CHAR(160),""))),0)*IFERROR(VALUE(TRIM(SUBSTITUTE($AE89,CHAR(160),""))),0)),
TRUE,0
)
)</f>
        <v/>
      </c>
      <c r="BH89" s="874" t="str">
        <f t="shared" si="87"/>
        <v/>
      </c>
      <c r="BI89" s="866"/>
      <c r="BJ89" s="774" t="str" cm="1">
        <f t="array" ref="BJ89">IF(OR(BH89="",BE89="",BF89="",BC89="",BG89="",BD89=""),"",_xlfn.IFS(
ROUND(IFERROR(VALUE(TRIM(SUBSTITUTE(BH89,CHAR(160),""))),0),2)&gt;
ROUND(IFERROR(VALUE(TRIM(SUBSTITUTE(BE89,CHAR(160),""))),0),2),
"KO : Le montant retenu TTC est supérieur au montant raisonnable TTC. Merci de revoir la ligne de dépense ou plafonner son montant.",
ROUND(IFERROR(VALUE(TRIM(SUBSTITUTE(BF89,CHAR(160),""))),0),2)&gt;
ROUND(IFERROR(VALUE(TRIM(SUBSTITUTE(BC89,CHAR(160),""))),0),2),
"Attention : Le montant retenu HT est supérieur au montant HT raisonnable. Merci de revoir la ligne de dépense, plafonner son montant, ou justifier la reventillation HT / TVA.",
ROUND(IFERROR(VALUE(TRIM(SUBSTITUTE(BG89,CHAR(160),""))),0),2)&gt;
ROUND(IFERROR(VALUE(TRIM(SUBSTITUTE(BD89,CHAR(160),""))),0),2),
"Attention : Le montant TVA retenu est supérieur au montant TVA raisonnable. Merci de revoir la ligne de dépense, plafonner son montant, ou justifier la reventillation HT / TVA.",
ROUND(IFERROR(VALUE(TRIM(SUBSTITUTE(BH89,CHAR(160),""))),0),2)&gt;
ROUND(IFERROR(VALUE(TRIM(SUBSTITUTE(MIN(N89,S89,X89),CHAR(160),""))),0),2),
"Attention : Le devis retenu n'est pas le moins cher. Une justification de la part du porteur est nécessaire.",
ROUND(IFERROR(VALUE(TRIM(SUBSTITUTE(BH89,CHAR(160),""))),0),2)=0,
"Attention : montant présenté entièrement écarté",
ROUND(IFERROR(VALUE(TRIM(SUBSTITUTE(BE89,CHAR(160),""))),0),2)=
ROUND(IFERROR(VALUE(TRIM(SUBSTITUTE(BH89,CHAR(160),""))),0),2),
"OK",
ROUND(IFERROR(VALUE(TRIM(SUBSTITUTE(BE89,CHAR(160),""))),0),2)&gt;
ROUND(IFERROR(VALUE(TRIM(SUBSTITUTE(BH89,CHAR(160),""))),0),2),
" OK : Montant instruit inférieur au montant raisonnable.",
TRUE,""
))</f>
        <v/>
      </c>
      <c r="BK89" s="774" t="str" cm="1">
        <f t="array" ref="BK89">IF(OR(BH89="",AB89="",BF89="",Z89="",BG89="",AA89=""),"",_xlfn.IFS(
ROUND(IFERROR(VALUE(TRIM(SUBSTITUTE(BH89,CHAR(160),""))),0),2)&gt;
ROUND(IFERROR(VALUE(TRIM(SUBSTITUTE(AB89,CHAR(160),""))),0),2),
"KO : Le montant retenu TTC est supérieur au montant présenté TTC. Merci de revoir la ligne de dépense ou plafonner son montant.",
ROUND(IFERROR(VALUE(TRIM(SUBSTITUTE(BF89,CHAR(160),""))),0),2)&gt;
ROUND(IFERROR(VALUE(TRIM(SUBSTITUTE(Z89,CHAR(160),""))),0),2),
"Attention : Le montant retenu HT est supérieur au montant HT présenté. Merci de revoir la ligne de dépense, plafonner son montant, ou justifier la reventillation HT / TVA.",
ROUND(IFERROR(VALUE(TRIM(SUBSTITUTE(BG89,CHAR(160),""))),0),2)&gt;
ROUND(IFERROR(VALUE(TRIM(SUBSTITUTE(AA89,CHAR(160),""))),0),2),
"Attention : Le montant TVA retenu est supérieur au montant TVA présenté. Merci de revoir la ligne de dépense, plafonner son montant, ou justifier la reventillation HT / TVA.",
ROUND(IFERROR(VALUE(TRIM(SUBSTITUTE(AB89,CHAR(160),""))),0),2)=0,
"",
ROUND(IFERROR(VALUE(TRIM(SUBSTITUTE(BH89,CHAR(160),""))),0),2)=
ROUND(IFERROR(VALUE(TRIM(SUBSTITUTE(AB89,CHAR(160),""))),0),2),
"OK",
ROUND(IFERROR(VALUE(TRIM(SUBSTITUTE(BH89,CHAR(160),""))),0),2)=0,
"Attention : Montant présenté entièrement rejeté.",
ROUND(IFERROR(VALUE(TRIM(SUBSTITUTE(BH89,CHAR(160),""))),0),2)&lt;
ROUND(IFERROR(VALUE(TRIM(SUBSTITUTE(AB89,CHAR(160),""))),0),2),
"Attention : Montant présenté partiellement rejeté.",
TRUE,""
))</f>
        <v/>
      </c>
      <c r="BL89" s="773" t="str">
        <f t="shared" si="88"/>
        <v/>
      </c>
      <c r="BM89" s="773" t="str">
        <f t="shared" si="89"/>
        <v/>
      </c>
      <c r="BN89" s="773" t="str">
        <f t="shared" si="90"/>
        <v/>
      </c>
    </row>
    <row r="90" spans="1:66" ht="15" customHeight="1">
      <c r="A90" s="193">
        <v>86</v>
      </c>
      <c r="B90" s="7"/>
      <c r="C90" s="9"/>
      <c r="D90" s="30"/>
      <c r="E90" s="36"/>
      <c r="F90" s="34"/>
      <c r="G90" s="35"/>
      <c r="H90" s="685"/>
      <c r="I90" s="786"/>
      <c r="J90" s="792"/>
      <c r="K90" s="758"/>
      <c r="L90" s="761"/>
      <c r="M90" s="762"/>
      <c r="N90" s="808" t="str">
        <f t="shared" si="61"/>
        <v/>
      </c>
      <c r="O90" s="846"/>
      <c r="P90" s="847"/>
      <c r="Q90" s="762"/>
      <c r="R90" s="762"/>
      <c r="S90" s="808" t="str">
        <f t="shared" si="62"/>
        <v/>
      </c>
      <c r="T90" s="850"/>
      <c r="U90" s="847"/>
      <c r="V90" s="762"/>
      <c r="W90" s="762"/>
      <c r="X90" s="830" t="str">
        <f t="shared" si="63"/>
        <v/>
      </c>
      <c r="Y90" s="246"/>
      <c r="Z90" s="284" t="str" cm="1">
        <f t="array" ref="Z90">IF((_xlfn.IFS(TRIM(SUBSTITUTE(Y90,CHAR(160),""))="Devis 1",IFERROR(VALUE(TRIM(SUBSTITUTE(L90,CHAR(160),""))),0),TRIM(SUBSTITUTE(Y90,CHAR(160),""))="Devis 2",IFERROR(VALUE(TRIM(SUBSTITUTE(Q90,CHAR(160),""))),0),TRIM(SUBSTITUTE(Y90,CHAR(160),""))="Devis 3",IFERROR(VALUE(TRIM(SUBSTITUTE(V90,CHAR(160),""))),0),TRUE,0)*IFERROR(VALUE(TRIM(SUBSTITUTE(C90,CHAR(160),""))),0))=0,"",_xlfn.IFS(TRIM(SUBSTITUTE(Y90,CHAR(160),""))="Devis 1",IFERROR(VALUE(TRIM(SUBSTITUTE(L90,CHAR(160),""))),0),TRIM(SUBSTITUTE(Y90,CHAR(160),""))="Devis 2",IFERROR(VALUE(TRIM(SUBSTITUTE(Q90,CHAR(160),""))),0),TRIM(SUBSTITUTE(Y90,CHAR(160),""))="Devis 3",IFERROR(VALUE(TRIM(SUBSTITUTE(V90,CHAR(160),""))),0),TRUE,0)*IFERROR(VALUE(TRIM(SUBSTITUTE(C90,CHAR(160),""))),0))</f>
        <v/>
      </c>
      <c r="AA90" s="275" t="str" cm="1">
        <f t="array" ref="AA90">IF((_xlfn.IFS(TRIM(SUBSTITUTE(Y90,CHAR(160),""))="Devis 1",IFERROR(VALUE(TRIM(SUBSTITUTE(M90,CHAR(160),""))),0),TRIM(SUBSTITUTE(Y90,CHAR(160),""))="Devis 2",IFERROR(VALUE(TRIM(SUBSTITUTE(R90,CHAR(160),""))),0),TRIM(SUBSTITUTE(Y90,CHAR(160),""))="Devis 3",IFERROR(VALUE(TRIM(SUBSTITUTE(W90,CHAR(160),""))),0),TRUE,0)*IFERROR(VALUE(TRIM(SUBSTITUTE(C90,CHAR(160),""))),0))=0,IF(Z90&lt;&gt;"",0,""),_xlfn.IFS(TRIM(SUBSTITUTE(Y90,CHAR(160),""))="Devis 1",IFERROR(VALUE(TRIM(SUBSTITUTE(M90,CHAR(160),""))),0),TRIM(SUBSTITUTE(Y90,CHAR(160),""))="Devis 2",IFERROR(VALUE(TRIM(SUBSTITUTE(R90,CHAR(160),""))),0),TRIM(SUBSTITUTE(Y90,CHAR(160),""))="Devis 3",IFERROR(VALUE(TRIM(SUBSTITUTE(W90,CHAR(160),""))),0),TRUE,0)*IFERROR(VALUE(TRIM(SUBSTITUTE(C90,CHAR(160),""))),0))</f>
        <v/>
      </c>
      <c r="AB90" s="285" t="str">
        <f t="shared" si="64"/>
        <v/>
      </c>
      <c r="AC90" s="209"/>
      <c r="AD90" s="747" t="str">
        <f t="shared" si="56"/>
        <v/>
      </c>
      <c r="AE90" s="747" t="str">
        <f t="shared" si="57"/>
        <v/>
      </c>
      <c r="AF90" s="747" t="str">
        <f t="shared" si="58"/>
        <v/>
      </c>
      <c r="AG90" s="747" t="str">
        <f t="shared" si="59"/>
        <v/>
      </c>
      <c r="AH90" s="747" t="str">
        <f t="shared" si="60"/>
        <v/>
      </c>
      <c r="AI90" s="747" t="str">
        <f t="shared" si="65"/>
        <v/>
      </c>
      <c r="AJ90" s="747" t="str">
        <f t="shared" si="66"/>
        <v/>
      </c>
      <c r="AK90" s="776" t="str">
        <f t="shared" si="67"/>
        <v/>
      </c>
      <c r="AL90" s="802" t="str">
        <f t="shared" si="68"/>
        <v/>
      </c>
      <c r="AM90" s="747" t="str">
        <f t="shared" si="69"/>
        <v/>
      </c>
      <c r="AN90" s="771" t="str">
        <f t="shared" si="70"/>
        <v/>
      </c>
      <c r="AO90" s="771" t="str">
        <f t="shared" si="71"/>
        <v/>
      </c>
      <c r="AP90" s="808" t="str">
        <f t="shared" si="72"/>
        <v/>
      </c>
      <c r="AQ90" s="819" t="str">
        <f t="shared" si="73"/>
        <v/>
      </c>
      <c r="AR90" s="771" t="str">
        <f t="shared" si="74"/>
        <v/>
      </c>
      <c r="AS90" s="771" t="str">
        <f t="shared" si="75"/>
        <v/>
      </c>
      <c r="AT90" s="771" t="str">
        <f t="shared" si="76"/>
        <v/>
      </c>
      <c r="AU90" s="808" t="str">
        <f t="shared" si="77"/>
        <v/>
      </c>
      <c r="AV90" s="842" t="str">
        <f t="shared" si="78"/>
        <v/>
      </c>
      <c r="AW90" s="771" t="str">
        <f t="shared" si="79"/>
        <v/>
      </c>
      <c r="AX90" s="771" t="str">
        <f t="shared" si="80"/>
        <v/>
      </c>
      <c r="AY90" s="771" t="str">
        <f t="shared" si="81"/>
        <v/>
      </c>
      <c r="AZ90" s="831" t="str">
        <f t="shared" si="82"/>
        <v/>
      </c>
      <c r="BA90" s="835" t="str">
        <f t="shared" si="83"/>
        <v/>
      </c>
      <c r="BB90" s="772"/>
      <c r="BC90" s="275" t="str">
        <f t="shared" si="84"/>
        <v/>
      </c>
      <c r="BD90" s="275" t="str">
        <f t="shared" si="85"/>
        <v/>
      </c>
      <c r="BE90" s="886" t="str">
        <f t="shared" si="86"/>
        <v/>
      </c>
      <c r="BF90" s="873" t="str" cm="1">
        <f t="array" ref="BF90">IF($AE90="","",
_xlfn.IFS(
$BA90="Devis 1",
IF(ISBLANK(AN90),"",IFERROR(VALUE(TRIM(SUBSTITUTE(AN90,CHAR(160),""))),0)*IFERROR(VALUE(TRIM(SUBSTITUTE($AE90,CHAR(160),""))),0)),
$BA90="Devis 2",
IF(ISBLANK(AS90),"",IFERROR(VALUE(TRIM(SUBSTITUTE(AS90,CHAR(160),""))),0)*IFERROR(VALUE(TRIM(SUBSTITUTE($AE90,CHAR(160),""))),0)),
$BA90="Devis 3",
IF(ISBLANK(AX90),"",IFERROR(VALUE(TRIM(SUBSTITUTE(AX90,CHAR(160),""))),0)*IFERROR(VALUE(TRIM(SUBSTITUTE($AE90,CHAR(160),""))),0)),
TRUE,0
)
)</f>
        <v/>
      </c>
      <c r="BG90" s="873" t="str" cm="1">
        <f t="array" ref="BG90">IF($AE90="","",
_xlfn.IFS(
$BA90="Devis 1",
IF(ISBLANK(AO90),"",IFERROR(VALUE(TRIM(SUBSTITUTE(AO90,CHAR(160),""))),0)*IFERROR(VALUE(TRIM(SUBSTITUTE($AE90,CHAR(160),""))),0)),
$BA90="Devis 2",
IF(ISBLANK(AT90),"",IFERROR(VALUE(TRIM(SUBSTITUTE(AT90,CHAR(160),""))),0)*IFERROR(VALUE(TRIM(SUBSTITUTE($AE90,CHAR(160),""))),0)),
$BA90="Devis 3",
IF(ISBLANK(AY90),"",IFERROR(VALUE(TRIM(SUBSTITUTE(AY90,CHAR(160),""))),0)*IFERROR(VALUE(TRIM(SUBSTITUTE($AE90,CHAR(160),""))),0)),
TRUE,0
)
)</f>
        <v/>
      </c>
      <c r="BH90" s="874" t="str">
        <f t="shared" si="87"/>
        <v/>
      </c>
      <c r="BI90" s="866"/>
      <c r="BJ90" s="774" t="str" cm="1">
        <f t="array" ref="BJ90">IF(OR(BH90="",BE90="",BF90="",BC90="",BG90="",BD90=""),"",_xlfn.IFS(
ROUND(IFERROR(VALUE(TRIM(SUBSTITUTE(BH90,CHAR(160),""))),0),2)&gt;
ROUND(IFERROR(VALUE(TRIM(SUBSTITUTE(BE90,CHAR(160),""))),0),2),
"KO : Le montant retenu TTC est supérieur au montant raisonnable TTC. Merci de revoir la ligne de dépense ou plafonner son montant.",
ROUND(IFERROR(VALUE(TRIM(SUBSTITUTE(BF90,CHAR(160),""))),0),2)&gt;
ROUND(IFERROR(VALUE(TRIM(SUBSTITUTE(BC90,CHAR(160),""))),0),2),
"Attention : Le montant retenu HT est supérieur au montant HT raisonnable. Merci de revoir la ligne de dépense, plafonner son montant, ou justifier la reventillation HT / TVA.",
ROUND(IFERROR(VALUE(TRIM(SUBSTITUTE(BG90,CHAR(160),""))),0),2)&gt;
ROUND(IFERROR(VALUE(TRIM(SUBSTITUTE(BD90,CHAR(160),""))),0),2),
"Attention : Le montant TVA retenu est supérieur au montant TVA raisonnable. Merci de revoir la ligne de dépense, plafonner son montant, ou justifier la reventillation HT / TVA.",
ROUND(IFERROR(VALUE(TRIM(SUBSTITUTE(BH90,CHAR(160),""))),0),2)&gt;
ROUND(IFERROR(VALUE(TRIM(SUBSTITUTE(MIN(N90,S90,X90),CHAR(160),""))),0),2),
"Attention : Le devis retenu n'est pas le moins cher. Une justification de la part du porteur est nécessaire.",
ROUND(IFERROR(VALUE(TRIM(SUBSTITUTE(BH90,CHAR(160),""))),0),2)=0,
"Attention : montant présenté entièrement écarté",
ROUND(IFERROR(VALUE(TRIM(SUBSTITUTE(BE90,CHAR(160),""))),0),2)=
ROUND(IFERROR(VALUE(TRIM(SUBSTITUTE(BH90,CHAR(160),""))),0),2),
"OK",
ROUND(IFERROR(VALUE(TRIM(SUBSTITUTE(BE90,CHAR(160),""))),0),2)&gt;
ROUND(IFERROR(VALUE(TRIM(SUBSTITUTE(BH90,CHAR(160),""))),0),2),
" OK : Montant instruit inférieur au montant raisonnable.",
TRUE,""
))</f>
        <v/>
      </c>
      <c r="BK90" s="774" t="str" cm="1">
        <f t="array" ref="BK90">IF(OR(BH90="",AB90="",BF90="",Z90="",BG90="",AA90=""),"",_xlfn.IFS(
ROUND(IFERROR(VALUE(TRIM(SUBSTITUTE(BH90,CHAR(160),""))),0),2)&gt;
ROUND(IFERROR(VALUE(TRIM(SUBSTITUTE(AB90,CHAR(160),""))),0),2),
"KO : Le montant retenu TTC est supérieur au montant présenté TTC. Merci de revoir la ligne de dépense ou plafonner son montant.",
ROUND(IFERROR(VALUE(TRIM(SUBSTITUTE(BF90,CHAR(160),""))),0),2)&gt;
ROUND(IFERROR(VALUE(TRIM(SUBSTITUTE(Z90,CHAR(160),""))),0),2),
"Attention : Le montant retenu HT est supérieur au montant HT présenté. Merci de revoir la ligne de dépense, plafonner son montant, ou justifier la reventillation HT / TVA.",
ROUND(IFERROR(VALUE(TRIM(SUBSTITUTE(BG90,CHAR(160),""))),0),2)&gt;
ROUND(IFERROR(VALUE(TRIM(SUBSTITUTE(AA90,CHAR(160),""))),0),2),
"Attention : Le montant TVA retenu est supérieur au montant TVA présenté. Merci de revoir la ligne de dépense, plafonner son montant, ou justifier la reventillation HT / TVA.",
ROUND(IFERROR(VALUE(TRIM(SUBSTITUTE(AB90,CHAR(160),""))),0),2)=0,
"",
ROUND(IFERROR(VALUE(TRIM(SUBSTITUTE(BH90,CHAR(160),""))),0),2)=
ROUND(IFERROR(VALUE(TRIM(SUBSTITUTE(AB90,CHAR(160),""))),0),2),
"OK",
ROUND(IFERROR(VALUE(TRIM(SUBSTITUTE(BH90,CHAR(160),""))),0),2)=0,
"Attention : Montant présenté entièrement rejeté.",
ROUND(IFERROR(VALUE(TRIM(SUBSTITUTE(BH90,CHAR(160),""))),0),2)&lt;
ROUND(IFERROR(VALUE(TRIM(SUBSTITUTE(AB90,CHAR(160),""))),0),2),
"Attention : Montant présenté partiellement rejeté.",
TRUE,""
))</f>
        <v/>
      </c>
      <c r="BL90" s="773" t="str">
        <f t="shared" si="88"/>
        <v/>
      </c>
      <c r="BM90" s="773" t="str">
        <f t="shared" si="89"/>
        <v/>
      </c>
      <c r="BN90" s="773" t="str">
        <f t="shared" si="90"/>
        <v/>
      </c>
    </row>
    <row r="91" spans="1:66" ht="15" customHeight="1">
      <c r="A91" s="193">
        <v>87</v>
      </c>
      <c r="B91" s="7"/>
      <c r="C91" s="9"/>
      <c r="D91" s="30"/>
      <c r="E91" s="36"/>
      <c r="F91" s="34"/>
      <c r="G91" s="35"/>
      <c r="H91" s="685"/>
      <c r="I91" s="786"/>
      <c r="J91" s="792"/>
      <c r="K91" s="758"/>
      <c r="L91" s="761"/>
      <c r="M91" s="762"/>
      <c r="N91" s="808" t="str">
        <f t="shared" si="61"/>
        <v/>
      </c>
      <c r="O91" s="846"/>
      <c r="P91" s="847"/>
      <c r="Q91" s="762"/>
      <c r="R91" s="762"/>
      <c r="S91" s="808" t="str">
        <f t="shared" si="62"/>
        <v/>
      </c>
      <c r="T91" s="850"/>
      <c r="U91" s="847"/>
      <c r="V91" s="762"/>
      <c r="W91" s="762"/>
      <c r="X91" s="830" t="str">
        <f t="shared" si="63"/>
        <v/>
      </c>
      <c r="Y91" s="246"/>
      <c r="Z91" s="284" t="str" cm="1">
        <f t="array" ref="Z91">IF((_xlfn.IFS(TRIM(SUBSTITUTE(Y91,CHAR(160),""))="Devis 1",IFERROR(VALUE(TRIM(SUBSTITUTE(L91,CHAR(160),""))),0),TRIM(SUBSTITUTE(Y91,CHAR(160),""))="Devis 2",IFERROR(VALUE(TRIM(SUBSTITUTE(Q91,CHAR(160),""))),0),TRIM(SUBSTITUTE(Y91,CHAR(160),""))="Devis 3",IFERROR(VALUE(TRIM(SUBSTITUTE(V91,CHAR(160),""))),0),TRUE,0)*IFERROR(VALUE(TRIM(SUBSTITUTE(C91,CHAR(160),""))),0))=0,"",_xlfn.IFS(TRIM(SUBSTITUTE(Y91,CHAR(160),""))="Devis 1",IFERROR(VALUE(TRIM(SUBSTITUTE(L91,CHAR(160),""))),0),TRIM(SUBSTITUTE(Y91,CHAR(160),""))="Devis 2",IFERROR(VALUE(TRIM(SUBSTITUTE(Q91,CHAR(160),""))),0),TRIM(SUBSTITUTE(Y91,CHAR(160),""))="Devis 3",IFERROR(VALUE(TRIM(SUBSTITUTE(V91,CHAR(160),""))),0),TRUE,0)*IFERROR(VALUE(TRIM(SUBSTITUTE(C91,CHAR(160),""))),0))</f>
        <v/>
      </c>
      <c r="AA91" s="275" t="str" cm="1">
        <f t="array" ref="AA91">IF((_xlfn.IFS(TRIM(SUBSTITUTE(Y91,CHAR(160),""))="Devis 1",IFERROR(VALUE(TRIM(SUBSTITUTE(M91,CHAR(160),""))),0),TRIM(SUBSTITUTE(Y91,CHAR(160),""))="Devis 2",IFERROR(VALUE(TRIM(SUBSTITUTE(R91,CHAR(160),""))),0),TRIM(SUBSTITUTE(Y91,CHAR(160),""))="Devis 3",IFERROR(VALUE(TRIM(SUBSTITUTE(W91,CHAR(160),""))),0),TRUE,0)*IFERROR(VALUE(TRIM(SUBSTITUTE(C91,CHAR(160),""))),0))=0,IF(Z91&lt;&gt;"",0,""),_xlfn.IFS(TRIM(SUBSTITUTE(Y91,CHAR(160),""))="Devis 1",IFERROR(VALUE(TRIM(SUBSTITUTE(M91,CHAR(160),""))),0),TRIM(SUBSTITUTE(Y91,CHAR(160),""))="Devis 2",IFERROR(VALUE(TRIM(SUBSTITUTE(R91,CHAR(160),""))),0),TRIM(SUBSTITUTE(Y91,CHAR(160),""))="Devis 3",IFERROR(VALUE(TRIM(SUBSTITUTE(W91,CHAR(160),""))),0),TRUE,0)*IFERROR(VALUE(TRIM(SUBSTITUTE(C91,CHAR(160),""))),0))</f>
        <v/>
      </c>
      <c r="AB91" s="285" t="str">
        <f t="shared" si="64"/>
        <v/>
      </c>
      <c r="AC91" s="209"/>
      <c r="AD91" s="747" t="str">
        <f t="shared" si="56"/>
        <v/>
      </c>
      <c r="AE91" s="747" t="str">
        <f t="shared" si="57"/>
        <v/>
      </c>
      <c r="AF91" s="747" t="str">
        <f t="shared" si="58"/>
        <v/>
      </c>
      <c r="AG91" s="747" t="str">
        <f t="shared" si="59"/>
        <v/>
      </c>
      <c r="AH91" s="747" t="str">
        <f t="shared" si="60"/>
        <v/>
      </c>
      <c r="AI91" s="747" t="str">
        <f t="shared" si="65"/>
        <v/>
      </c>
      <c r="AJ91" s="747" t="str">
        <f t="shared" si="66"/>
        <v/>
      </c>
      <c r="AK91" s="776" t="str">
        <f t="shared" si="67"/>
        <v/>
      </c>
      <c r="AL91" s="802" t="str">
        <f t="shared" si="68"/>
        <v/>
      </c>
      <c r="AM91" s="747" t="str">
        <f t="shared" si="69"/>
        <v/>
      </c>
      <c r="AN91" s="771" t="str">
        <f t="shared" si="70"/>
        <v/>
      </c>
      <c r="AO91" s="771" t="str">
        <f t="shared" si="71"/>
        <v/>
      </c>
      <c r="AP91" s="808" t="str">
        <f t="shared" si="72"/>
        <v/>
      </c>
      <c r="AQ91" s="819" t="str">
        <f t="shared" si="73"/>
        <v/>
      </c>
      <c r="AR91" s="771" t="str">
        <f t="shared" si="74"/>
        <v/>
      </c>
      <c r="AS91" s="771" t="str">
        <f t="shared" si="75"/>
        <v/>
      </c>
      <c r="AT91" s="771" t="str">
        <f t="shared" si="76"/>
        <v/>
      </c>
      <c r="AU91" s="808" t="str">
        <f t="shared" si="77"/>
        <v/>
      </c>
      <c r="AV91" s="842" t="str">
        <f t="shared" si="78"/>
        <v/>
      </c>
      <c r="AW91" s="771" t="str">
        <f t="shared" si="79"/>
        <v/>
      </c>
      <c r="AX91" s="771" t="str">
        <f t="shared" si="80"/>
        <v/>
      </c>
      <c r="AY91" s="771" t="str">
        <f t="shared" si="81"/>
        <v/>
      </c>
      <c r="AZ91" s="831" t="str">
        <f t="shared" si="82"/>
        <v/>
      </c>
      <c r="BA91" s="835" t="str">
        <f t="shared" si="83"/>
        <v/>
      </c>
      <c r="BB91" s="772"/>
      <c r="BC91" s="275" t="str">
        <f t="shared" si="84"/>
        <v/>
      </c>
      <c r="BD91" s="275" t="str">
        <f t="shared" si="85"/>
        <v/>
      </c>
      <c r="BE91" s="886" t="str">
        <f t="shared" si="86"/>
        <v/>
      </c>
      <c r="BF91" s="873" t="str" cm="1">
        <f t="array" ref="BF91">IF($AE91="","",
_xlfn.IFS(
$BA91="Devis 1",
IF(ISBLANK(AN91),"",IFERROR(VALUE(TRIM(SUBSTITUTE(AN91,CHAR(160),""))),0)*IFERROR(VALUE(TRIM(SUBSTITUTE($AE91,CHAR(160),""))),0)),
$BA91="Devis 2",
IF(ISBLANK(AS91),"",IFERROR(VALUE(TRIM(SUBSTITUTE(AS91,CHAR(160),""))),0)*IFERROR(VALUE(TRIM(SUBSTITUTE($AE91,CHAR(160),""))),0)),
$BA91="Devis 3",
IF(ISBLANK(AX91),"",IFERROR(VALUE(TRIM(SUBSTITUTE(AX91,CHAR(160),""))),0)*IFERROR(VALUE(TRIM(SUBSTITUTE($AE91,CHAR(160),""))),0)),
TRUE,0
)
)</f>
        <v/>
      </c>
      <c r="BG91" s="873" t="str" cm="1">
        <f t="array" ref="BG91">IF($AE91="","",
_xlfn.IFS(
$BA91="Devis 1",
IF(ISBLANK(AO91),"",IFERROR(VALUE(TRIM(SUBSTITUTE(AO91,CHAR(160),""))),0)*IFERROR(VALUE(TRIM(SUBSTITUTE($AE91,CHAR(160),""))),0)),
$BA91="Devis 2",
IF(ISBLANK(AT91),"",IFERROR(VALUE(TRIM(SUBSTITUTE(AT91,CHAR(160),""))),0)*IFERROR(VALUE(TRIM(SUBSTITUTE($AE91,CHAR(160),""))),0)),
$BA91="Devis 3",
IF(ISBLANK(AY91),"",IFERROR(VALUE(TRIM(SUBSTITUTE(AY91,CHAR(160),""))),0)*IFERROR(VALUE(TRIM(SUBSTITUTE($AE91,CHAR(160),""))),0)),
TRUE,0
)
)</f>
        <v/>
      </c>
      <c r="BH91" s="874" t="str">
        <f t="shared" si="87"/>
        <v/>
      </c>
      <c r="BI91" s="866"/>
      <c r="BJ91" s="774" t="str" cm="1">
        <f t="array" ref="BJ91">IF(OR(BH91="",BE91="",BF91="",BC91="",BG91="",BD91=""),"",_xlfn.IFS(
ROUND(IFERROR(VALUE(TRIM(SUBSTITUTE(BH91,CHAR(160),""))),0),2)&gt;
ROUND(IFERROR(VALUE(TRIM(SUBSTITUTE(BE91,CHAR(160),""))),0),2),
"KO : Le montant retenu TTC est supérieur au montant raisonnable TTC. Merci de revoir la ligne de dépense ou plafonner son montant.",
ROUND(IFERROR(VALUE(TRIM(SUBSTITUTE(BF91,CHAR(160),""))),0),2)&gt;
ROUND(IFERROR(VALUE(TRIM(SUBSTITUTE(BC91,CHAR(160),""))),0),2),
"Attention : Le montant retenu HT est supérieur au montant HT raisonnable. Merci de revoir la ligne de dépense, plafonner son montant, ou justifier la reventillation HT / TVA.",
ROUND(IFERROR(VALUE(TRIM(SUBSTITUTE(BG91,CHAR(160),""))),0),2)&gt;
ROUND(IFERROR(VALUE(TRIM(SUBSTITUTE(BD91,CHAR(160),""))),0),2),
"Attention : Le montant TVA retenu est supérieur au montant TVA raisonnable. Merci de revoir la ligne de dépense, plafonner son montant, ou justifier la reventillation HT / TVA.",
ROUND(IFERROR(VALUE(TRIM(SUBSTITUTE(BH91,CHAR(160),""))),0),2)&gt;
ROUND(IFERROR(VALUE(TRIM(SUBSTITUTE(MIN(N91,S91,X91),CHAR(160),""))),0),2),
"Attention : Le devis retenu n'est pas le moins cher. Une justification de la part du porteur est nécessaire.",
ROUND(IFERROR(VALUE(TRIM(SUBSTITUTE(BH91,CHAR(160),""))),0),2)=0,
"Attention : montant présenté entièrement écarté",
ROUND(IFERROR(VALUE(TRIM(SUBSTITUTE(BE91,CHAR(160),""))),0),2)=
ROUND(IFERROR(VALUE(TRIM(SUBSTITUTE(BH91,CHAR(160),""))),0),2),
"OK",
ROUND(IFERROR(VALUE(TRIM(SUBSTITUTE(BE91,CHAR(160),""))),0),2)&gt;
ROUND(IFERROR(VALUE(TRIM(SUBSTITUTE(BH91,CHAR(160),""))),0),2),
" OK : Montant instruit inférieur au montant raisonnable.",
TRUE,""
))</f>
        <v/>
      </c>
      <c r="BK91" s="774" t="str" cm="1">
        <f t="array" ref="BK91">IF(OR(BH91="",AB91="",BF91="",Z91="",BG91="",AA91=""),"",_xlfn.IFS(
ROUND(IFERROR(VALUE(TRIM(SUBSTITUTE(BH91,CHAR(160),""))),0),2)&gt;
ROUND(IFERROR(VALUE(TRIM(SUBSTITUTE(AB91,CHAR(160),""))),0),2),
"KO : Le montant retenu TTC est supérieur au montant présenté TTC. Merci de revoir la ligne de dépense ou plafonner son montant.",
ROUND(IFERROR(VALUE(TRIM(SUBSTITUTE(BF91,CHAR(160),""))),0),2)&gt;
ROUND(IFERROR(VALUE(TRIM(SUBSTITUTE(Z91,CHAR(160),""))),0),2),
"Attention : Le montant retenu HT est supérieur au montant HT présenté. Merci de revoir la ligne de dépense, plafonner son montant, ou justifier la reventillation HT / TVA.",
ROUND(IFERROR(VALUE(TRIM(SUBSTITUTE(BG91,CHAR(160),""))),0),2)&gt;
ROUND(IFERROR(VALUE(TRIM(SUBSTITUTE(AA91,CHAR(160),""))),0),2),
"Attention : Le montant TVA retenu est supérieur au montant TVA présenté. Merci de revoir la ligne de dépense, plafonner son montant, ou justifier la reventillation HT / TVA.",
ROUND(IFERROR(VALUE(TRIM(SUBSTITUTE(AB91,CHAR(160),""))),0),2)=0,
"",
ROUND(IFERROR(VALUE(TRIM(SUBSTITUTE(BH91,CHAR(160),""))),0),2)=
ROUND(IFERROR(VALUE(TRIM(SUBSTITUTE(AB91,CHAR(160),""))),0),2),
"OK",
ROUND(IFERROR(VALUE(TRIM(SUBSTITUTE(BH91,CHAR(160),""))),0),2)=0,
"Attention : Montant présenté entièrement rejeté.",
ROUND(IFERROR(VALUE(TRIM(SUBSTITUTE(BH91,CHAR(160),""))),0),2)&lt;
ROUND(IFERROR(VALUE(TRIM(SUBSTITUTE(AB91,CHAR(160),""))),0),2),
"Attention : Montant présenté partiellement rejeté.",
TRUE,""
))</f>
        <v/>
      </c>
      <c r="BL91" s="773" t="str">
        <f t="shared" si="88"/>
        <v/>
      </c>
      <c r="BM91" s="773" t="str">
        <f t="shared" si="89"/>
        <v/>
      </c>
      <c r="BN91" s="773" t="str">
        <f t="shared" si="90"/>
        <v/>
      </c>
    </row>
    <row r="92" spans="1:66" ht="15" customHeight="1">
      <c r="A92" s="193">
        <v>88</v>
      </c>
      <c r="B92" s="7"/>
      <c r="C92" s="9"/>
      <c r="D92" s="30"/>
      <c r="E92" s="36"/>
      <c r="F92" s="34"/>
      <c r="G92" s="35"/>
      <c r="H92" s="685"/>
      <c r="I92" s="786"/>
      <c r="J92" s="792"/>
      <c r="K92" s="758"/>
      <c r="L92" s="761"/>
      <c r="M92" s="762"/>
      <c r="N92" s="808" t="str">
        <f t="shared" si="61"/>
        <v/>
      </c>
      <c r="O92" s="846"/>
      <c r="P92" s="847"/>
      <c r="Q92" s="762"/>
      <c r="R92" s="762"/>
      <c r="S92" s="808" t="str">
        <f t="shared" si="62"/>
        <v/>
      </c>
      <c r="T92" s="850"/>
      <c r="U92" s="847"/>
      <c r="V92" s="762"/>
      <c r="W92" s="762"/>
      <c r="X92" s="830" t="str">
        <f t="shared" si="63"/>
        <v/>
      </c>
      <c r="Y92" s="246"/>
      <c r="Z92" s="284" t="str" cm="1">
        <f t="array" ref="Z92">IF((_xlfn.IFS(TRIM(SUBSTITUTE(Y92,CHAR(160),""))="Devis 1",IFERROR(VALUE(TRIM(SUBSTITUTE(L92,CHAR(160),""))),0),TRIM(SUBSTITUTE(Y92,CHAR(160),""))="Devis 2",IFERROR(VALUE(TRIM(SUBSTITUTE(Q92,CHAR(160),""))),0),TRIM(SUBSTITUTE(Y92,CHAR(160),""))="Devis 3",IFERROR(VALUE(TRIM(SUBSTITUTE(V92,CHAR(160),""))),0),TRUE,0)*IFERROR(VALUE(TRIM(SUBSTITUTE(C92,CHAR(160),""))),0))=0,"",_xlfn.IFS(TRIM(SUBSTITUTE(Y92,CHAR(160),""))="Devis 1",IFERROR(VALUE(TRIM(SUBSTITUTE(L92,CHAR(160),""))),0),TRIM(SUBSTITUTE(Y92,CHAR(160),""))="Devis 2",IFERROR(VALUE(TRIM(SUBSTITUTE(Q92,CHAR(160),""))),0),TRIM(SUBSTITUTE(Y92,CHAR(160),""))="Devis 3",IFERROR(VALUE(TRIM(SUBSTITUTE(V92,CHAR(160),""))),0),TRUE,0)*IFERROR(VALUE(TRIM(SUBSTITUTE(C92,CHAR(160),""))),0))</f>
        <v/>
      </c>
      <c r="AA92" s="275" t="str" cm="1">
        <f t="array" ref="AA92">IF((_xlfn.IFS(TRIM(SUBSTITUTE(Y92,CHAR(160),""))="Devis 1",IFERROR(VALUE(TRIM(SUBSTITUTE(M92,CHAR(160),""))),0),TRIM(SUBSTITUTE(Y92,CHAR(160),""))="Devis 2",IFERROR(VALUE(TRIM(SUBSTITUTE(R92,CHAR(160),""))),0),TRIM(SUBSTITUTE(Y92,CHAR(160),""))="Devis 3",IFERROR(VALUE(TRIM(SUBSTITUTE(W92,CHAR(160),""))),0),TRUE,0)*IFERROR(VALUE(TRIM(SUBSTITUTE(C92,CHAR(160),""))),0))=0,IF(Z92&lt;&gt;"",0,""),_xlfn.IFS(TRIM(SUBSTITUTE(Y92,CHAR(160),""))="Devis 1",IFERROR(VALUE(TRIM(SUBSTITUTE(M92,CHAR(160),""))),0),TRIM(SUBSTITUTE(Y92,CHAR(160),""))="Devis 2",IFERROR(VALUE(TRIM(SUBSTITUTE(R92,CHAR(160),""))),0),TRIM(SUBSTITUTE(Y92,CHAR(160),""))="Devis 3",IFERROR(VALUE(TRIM(SUBSTITUTE(W92,CHAR(160),""))),0),TRUE,0)*IFERROR(VALUE(TRIM(SUBSTITUTE(C92,CHAR(160),""))),0))</f>
        <v/>
      </c>
      <c r="AB92" s="285" t="str">
        <f t="shared" si="64"/>
        <v/>
      </c>
      <c r="AC92" s="209"/>
      <c r="AD92" s="747" t="str">
        <f t="shared" si="56"/>
        <v/>
      </c>
      <c r="AE92" s="747" t="str">
        <f t="shared" si="57"/>
        <v/>
      </c>
      <c r="AF92" s="747" t="str">
        <f t="shared" si="58"/>
        <v/>
      </c>
      <c r="AG92" s="747" t="str">
        <f t="shared" si="59"/>
        <v/>
      </c>
      <c r="AH92" s="747" t="str">
        <f t="shared" si="60"/>
        <v/>
      </c>
      <c r="AI92" s="747" t="str">
        <f t="shared" si="65"/>
        <v/>
      </c>
      <c r="AJ92" s="747" t="str">
        <f t="shared" si="66"/>
        <v/>
      </c>
      <c r="AK92" s="776" t="str">
        <f t="shared" si="67"/>
        <v/>
      </c>
      <c r="AL92" s="802" t="str">
        <f t="shared" si="68"/>
        <v/>
      </c>
      <c r="AM92" s="747" t="str">
        <f t="shared" si="69"/>
        <v/>
      </c>
      <c r="AN92" s="771" t="str">
        <f t="shared" si="70"/>
        <v/>
      </c>
      <c r="AO92" s="771" t="str">
        <f t="shared" si="71"/>
        <v/>
      </c>
      <c r="AP92" s="808" t="str">
        <f t="shared" si="72"/>
        <v/>
      </c>
      <c r="AQ92" s="819" t="str">
        <f t="shared" si="73"/>
        <v/>
      </c>
      <c r="AR92" s="771" t="str">
        <f t="shared" si="74"/>
        <v/>
      </c>
      <c r="AS92" s="771" t="str">
        <f t="shared" si="75"/>
        <v/>
      </c>
      <c r="AT92" s="771" t="str">
        <f t="shared" si="76"/>
        <v/>
      </c>
      <c r="AU92" s="808" t="str">
        <f t="shared" si="77"/>
        <v/>
      </c>
      <c r="AV92" s="842" t="str">
        <f t="shared" si="78"/>
        <v/>
      </c>
      <c r="AW92" s="771" t="str">
        <f t="shared" si="79"/>
        <v/>
      </c>
      <c r="AX92" s="771" t="str">
        <f t="shared" si="80"/>
        <v/>
      </c>
      <c r="AY92" s="771" t="str">
        <f t="shared" si="81"/>
        <v/>
      </c>
      <c r="AZ92" s="831" t="str">
        <f t="shared" si="82"/>
        <v/>
      </c>
      <c r="BA92" s="835" t="str">
        <f t="shared" si="83"/>
        <v/>
      </c>
      <c r="BB92" s="772"/>
      <c r="BC92" s="275" t="str">
        <f t="shared" si="84"/>
        <v/>
      </c>
      <c r="BD92" s="275" t="str">
        <f t="shared" si="85"/>
        <v/>
      </c>
      <c r="BE92" s="886" t="str">
        <f t="shared" si="86"/>
        <v/>
      </c>
      <c r="BF92" s="873" t="str" cm="1">
        <f t="array" ref="BF92">IF($AE92="","",
_xlfn.IFS(
$BA92="Devis 1",
IF(ISBLANK(AN92),"",IFERROR(VALUE(TRIM(SUBSTITUTE(AN92,CHAR(160),""))),0)*IFERROR(VALUE(TRIM(SUBSTITUTE($AE92,CHAR(160),""))),0)),
$BA92="Devis 2",
IF(ISBLANK(AS92),"",IFERROR(VALUE(TRIM(SUBSTITUTE(AS92,CHAR(160),""))),0)*IFERROR(VALUE(TRIM(SUBSTITUTE($AE92,CHAR(160),""))),0)),
$BA92="Devis 3",
IF(ISBLANK(AX92),"",IFERROR(VALUE(TRIM(SUBSTITUTE(AX92,CHAR(160),""))),0)*IFERROR(VALUE(TRIM(SUBSTITUTE($AE92,CHAR(160),""))),0)),
TRUE,0
)
)</f>
        <v/>
      </c>
      <c r="BG92" s="873" t="str" cm="1">
        <f t="array" ref="BG92">IF($AE92="","",
_xlfn.IFS(
$BA92="Devis 1",
IF(ISBLANK(AO92),"",IFERROR(VALUE(TRIM(SUBSTITUTE(AO92,CHAR(160),""))),0)*IFERROR(VALUE(TRIM(SUBSTITUTE($AE92,CHAR(160),""))),0)),
$BA92="Devis 2",
IF(ISBLANK(AT92),"",IFERROR(VALUE(TRIM(SUBSTITUTE(AT92,CHAR(160),""))),0)*IFERROR(VALUE(TRIM(SUBSTITUTE($AE92,CHAR(160),""))),0)),
$BA92="Devis 3",
IF(ISBLANK(AY92),"",IFERROR(VALUE(TRIM(SUBSTITUTE(AY92,CHAR(160),""))),0)*IFERROR(VALUE(TRIM(SUBSTITUTE($AE92,CHAR(160),""))),0)),
TRUE,0
)
)</f>
        <v/>
      </c>
      <c r="BH92" s="874" t="str">
        <f t="shared" si="87"/>
        <v/>
      </c>
      <c r="BI92" s="866"/>
      <c r="BJ92" s="774" t="str" cm="1">
        <f t="array" ref="BJ92">IF(OR(BH92="",BE92="",BF92="",BC92="",BG92="",BD92=""),"",_xlfn.IFS(
ROUND(IFERROR(VALUE(TRIM(SUBSTITUTE(BH92,CHAR(160),""))),0),2)&gt;
ROUND(IFERROR(VALUE(TRIM(SUBSTITUTE(BE92,CHAR(160),""))),0),2),
"KO : Le montant retenu TTC est supérieur au montant raisonnable TTC. Merci de revoir la ligne de dépense ou plafonner son montant.",
ROUND(IFERROR(VALUE(TRIM(SUBSTITUTE(BF92,CHAR(160),""))),0),2)&gt;
ROUND(IFERROR(VALUE(TRIM(SUBSTITUTE(BC92,CHAR(160),""))),0),2),
"Attention : Le montant retenu HT est supérieur au montant HT raisonnable. Merci de revoir la ligne de dépense, plafonner son montant, ou justifier la reventillation HT / TVA.",
ROUND(IFERROR(VALUE(TRIM(SUBSTITUTE(BG92,CHAR(160),""))),0),2)&gt;
ROUND(IFERROR(VALUE(TRIM(SUBSTITUTE(BD92,CHAR(160),""))),0),2),
"Attention : Le montant TVA retenu est supérieur au montant TVA raisonnable. Merci de revoir la ligne de dépense, plafonner son montant, ou justifier la reventillation HT / TVA.",
ROUND(IFERROR(VALUE(TRIM(SUBSTITUTE(BH92,CHAR(160),""))),0),2)&gt;
ROUND(IFERROR(VALUE(TRIM(SUBSTITUTE(MIN(N92,S92,X92),CHAR(160),""))),0),2),
"Attention : Le devis retenu n'est pas le moins cher. Une justification de la part du porteur est nécessaire.",
ROUND(IFERROR(VALUE(TRIM(SUBSTITUTE(BH92,CHAR(160),""))),0),2)=0,
"Attention : montant présenté entièrement écarté",
ROUND(IFERROR(VALUE(TRIM(SUBSTITUTE(BE92,CHAR(160),""))),0),2)=
ROUND(IFERROR(VALUE(TRIM(SUBSTITUTE(BH92,CHAR(160),""))),0),2),
"OK",
ROUND(IFERROR(VALUE(TRIM(SUBSTITUTE(BE92,CHAR(160),""))),0),2)&gt;
ROUND(IFERROR(VALUE(TRIM(SUBSTITUTE(BH92,CHAR(160),""))),0),2),
" OK : Montant instruit inférieur au montant raisonnable.",
TRUE,""
))</f>
        <v/>
      </c>
      <c r="BK92" s="774" t="str" cm="1">
        <f t="array" ref="BK92">IF(OR(BH92="",AB92="",BF92="",Z92="",BG92="",AA92=""),"",_xlfn.IFS(
ROUND(IFERROR(VALUE(TRIM(SUBSTITUTE(BH92,CHAR(160),""))),0),2)&gt;
ROUND(IFERROR(VALUE(TRIM(SUBSTITUTE(AB92,CHAR(160),""))),0),2),
"KO : Le montant retenu TTC est supérieur au montant présenté TTC. Merci de revoir la ligne de dépense ou plafonner son montant.",
ROUND(IFERROR(VALUE(TRIM(SUBSTITUTE(BF92,CHAR(160),""))),0),2)&gt;
ROUND(IFERROR(VALUE(TRIM(SUBSTITUTE(Z92,CHAR(160),""))),0),2),
"Attention : Le montant retenu HT est supérieur au montant HT présenté. Merci de revoir la ligne de dépense, plafonner son montant, ou justifier la reventillation HT / TVA.",
ROUND(IFERROR(VALUE(TRIM(SUBSTITUTE(BG92,CHAR(160),""))),0),2)&gt;
ROUND(IFERROR(VALUE(TRIM(SUBSTITUTE(AA92,CHAR(160),""))),0),2),
"Attention : Le montant TVA retenu est supérieur au montant TVA présenté. Merci de revoir la ligne de dépense, plafonner son montant, ou justifier la reventillation HT / TVA.",
ROUND(IFERROR(VALUE(TRIM(SUBSTITUTE(AB92,CHAR(160),""))),0),2)=0,
"",
ROUND(IFERROR(VALUE(TRIM(SUBSTITUTE(BH92,CHAR(160),""))),0),2)=
ROUND(IFERROR(VALUE(TRIM(SUBSTITUTE(AB92,CHAR(160),""))),0),2),
"OK",
ROUND(IFERROR(VALUE(TRIM(SUBSTITUTE(BH92,CHAR(160),""))),0),2)=0,
"Attention : Montant présenté entièrement rejeté.",
ROUND(IFERROR(VALUE(TRIM(SUBSTITUTE(BH92,CHAR(160),""))),0),2)&lt;
ROUND(IFERROR(VALUE(TRIM(SUBSTITUTE(AB92,CHAR(160),""))),0),2),
"Attention : Montant présenté partiellement rejeté.",
TRUE,""
))</f>
        <v/>
      </c>
      <c r="BL92" s="773" t="str">
        <f t="shared" si="88"/>
        <v/>
      </c>
      <c r="BM92" s="773" t="str">
        <f t="shared" si="89"/>
        <v/>
      </c>
      <c r="BN92" s="773" t="str">
        <f t="shared" si="90"/>
        <v/>
      </c>
    </row>
    <row r="93" spans="1:66" ht="15" customHeight="1">
      <c r="A93" s="193">
        <v>89</v>
      </c>
      <c r="B93" s="7"/>
      <c r="C93" s="9"/>
      <c r="D93" s="30"/>
      <c r="E93" s="36"/>
      <c r="F93" s="34"/>
      <c r="G93" s="35"/>
      <c r="H93" s="685"/>
      <c r="I93" s="786"/>
      <c r="J93" s="792"/>
      <c r="K93" s="758"/>
      <c r="L93" s="761"/>
      <c r="M93" s="762"/>
      <c r="N93" s="808" t="str">
        <f t="shared" si="61"/>
        <v/>
      </c>
      <c r="O93" s="846"/>
      <c r="P93" s="847"/>
      <c r="Q93" s="762"/>
      <c r="R93" s="762"/>
      <c r="S93" s="808" t="str">
        <f t="shared" si="62"/>
        <v/>
      </c>
      <c r="T93" s="850"/>
      <c r="U93" s="847"/>
      <c r="V93" s="762"/>
      <c r="W93" s="762"/>
      <c r="X93" s="830" t="str">
        <f t="shared" si="63"/>
        <v/>
      </c>
      <c r="Y93" s="246"/>
      <c r="Z93" s="284" t="str" cm="1">
        <f t="array" ref="Z93">IF((_xlfn.IFS(TRIM(SUBSTITUTE(Y93,CHAR(160),""))="Devis 1",IFERROR(VALUE(TRIM(SUBSTITUTE(L93,CHAR(160),""))),0),TRIM(SUBSTITUTE(Y93,CHAR(160),""))="Devis 2",IFERROR(VALUE(TRIM(SUBSTITUTE(Q93,CHAR(160),""))),0),TRIM(SUBSTITUTE(Y93,CHAR(160),""))="Devis 3",IFERROR(VALUE(TRIM(SUBSTITUTE(V93,CHAR(160),""))),0),TRUE,0)*IFERROR(VALUE(TRIM(SUBSTITUTE(C93,CHAR(160),""))),0))=0,"",_xlfn.IFS(TRIM(SUBSTITUTE(Y93,CHAR(160),""))="Devis 1",IFERROR(VALUE(TRIM(SUBSTITUTE(L93,CHAR(160),""))),0),TRIM(SUBSTITUTE(Y93,CHAR(160),""))="Devis 2",IFERROR(VALUE(TRIM(SUBSTITUTE(Q93,CHAR(160),""))),0),TRIM(SUBSTITUTE(Y93,CHAR(160),""))="Devis 3",IFERROR(VALUE(TRIM(SUBSTITUTE(V93,CHAR(160),""))),0),TRUE,0)*IFERROR(VALUE(TRIM(SUBSTITUTE(C93,CHAR(160),""))),0))</f>
        <v/>
      </c>
      <c r="AA93" s="275" t="str" cm="1">
        <f t="array" ref="AA93">IF((_xlfn.IFS(TRIM(SUBSTITUTE(Y93,CHAR(160),""))="Devis 1",IFERROR(VALUE(TRIM(SUBSTITUTE(M93,CHAR(160),""))),0),TRIM(SUBSTITUTE(Y93,CHAR(160),""))="Devis 2",IFERROR(VALUE(TRIM(SUBSTITUTE(R93,CHAR(160),""))),0),TRIM(SUBSTITUTE(Y93,CHAR(160),""))="Devis 3",IFERROR(VALUE(TRIM(SUBSTITUTE(W93,CHAR(160),""))),0),TRUE,0)*IFERROR(VALUE(TRIM(SUBSTITUTE(C93,CHAR(160),""))),0))=0,IF(Z93&lt;&gt;"",0,""),_xlfn.IFS(TRIM(SUBSTITUTE(Y93,CHAR(160),""))="Devis 1",IFERROR(VALUE(TRIM(SUBSTITUTE(M93,CHAR(160),""))),0),TRIM(SUBSTITUTE(Y93,CHAR(160),""))="Devis 2",IFERROR(VALUE(TRIM(SUBSTITUTE(R93,CHAR(160),""))),0),TRIM(SUBSTITUTE(Y93,CHAR(160),""))="Devis 3",IFERROR(VALUE(TRIM(SUBSTITUTE(W93,CHAR(160),""))),0),TRUE,0)*IFERROR(VALUE(TRIM(SUBSTITUTE(C93,CHAR(160),""))),0))</f>
        <v/>
      </c>
      <c r="AB93" s="285" t="str">
        <f t="shared" si="64"/>
        <v/>
      </c>
      <c r="AC93" s="209"/>
      <c r="AD93" s="747" t="str">
        <f t="shared" si="56"/>
        <v/>
      </c>
      <c r="AE93" s="747" t="str">
        <f t="shared" si="57"/>
        <v/>
      </c>
      <c r="AF93" s="747" t="str">
        <f t="shared" si="58"/>
        <v/>
      </c>
      <c r="AG93" s="747" t="str">
        <f t="shared" si="59"/>
        <v/>
      </c>
      <c r="AH93" s="747" t="str">
        <f t="shared" si="60"/>
        <v/>
      </c>
      <c r="AI93" s="747" t="str">
        <f t="shared" si="65"/>
        <v/>
      </c>
      <c r="AJ93" s="747" t="str">
        <f t="shared" si="66"/>
        <v/>
      </c>
      <c r="AK93" s="776" t="str">
        <f t="shared" si="67"/>
        <v/>
      </c>
      <c r="AL93" s="802" t="str">
        <f t="shared" si="68"/>
        <v/>
      </c>
      <c r="AM93" s="747" t="str">
        <f t="shared" si="69"/>
        <v/>
      </c>
      <c r="AN93" s="771" t="str">
        <f t="shared" si="70"/>
        <v/>
      </c>
      <c r="AO93" s="771" t="str">
        <f t="shared" si="71"/>
        <v/>
      </c>
      <c r="AP93" s="808" t="str">
        <f t="shared" si="72"/>
        <v/>
      </c>
      <c r="AQ93" s="819" t="str">
        <f t="shared" si="73"/>
        <v/>
      </c>
      <c r="AR93" s="771" t="str">
        <f t="shared" si="74"/>
        <v/>
      </c>
      <c r="AS93" s="771" t="str">
        <f t="shared" si="75"/>
        <v/>
      </c>
      <c r="AT93" s="771" t="str">
        <f t="shared" si="76"/>
        <v/>
      </c>
      <c r="AU93" s="808" t="str">
        <f t="shared" si="77"/>
        <v/>
      </c>
      <c r="AV93" s="842" t="str">
        <f t="shared" si="78"/>
        <v/>
      </c>
      <c r="AW93" s="771" t="str">
        <f t="shared" si="79"/>
        <v/>
      </c>
      <c r="AX93" s="771" t="str">
        <f t="shared" si="80"/>
        <v/>
      </c>
      <c r="AY93" s="771" t="str">
        <f t="shared" si="81"/>
        <v/>
      </c>
      <c r="AZ93" s="831" t="str">
        <f t="shared" si="82"/>
        <v/>
      </c>
      <c r="BA93" s="835" t="str">
        <f t="shared" si="83"/>
        <v/>
      </c>
      <c r="BB93" s="772"/>
      <c r="BC93" s="275" t="str">
        <f t="shared" si="84"/>
        <v/>
      </c>
      <c r="BD93" s="275" t="str">
        <f t="shared" si="85"/>
        <v/>
      </c>
      <c r="BE93" s="886" t="str">
        <f t="shared" si="86"/>
        <v/>
      </c>
      <c r="BF93" s="873" t="str" cm="1">
        <f t="array" ref="BF93">IF($AE93="","",
_xlfn.IFS(
$BA93="Devis 1",
IF(ISBLANK(AN93),"",IFERROR(VALUE(TRIM(SUBSTITUTE(AN93,CHAR(160),""))),0)*IFERROR(VALUE(TRIM(SUBSTITUTE($AE93,CHAR(160),""))),0)),
$BA93="Devis 2",
IF(ISBLANK(AS93),"",IFERROR(VALUE(TRIM(SUBSTITUTE(AS93,CHAR(160),""))),0)*IFERROR(VALUE(TRIM(SUBSTITUTE($AE93,CHAR(160),""))),0)),
$BA93="Devis 3",
IF(ISBLANK(AX93),"",IFERROR(VALUE(TRIM(SUBSTITUTE(AX93,CHAR(160),""))),0)*IFERROR(VALUE(TRIM(SUBSTITUTE($AE93,CHAR(160),""))),0)),
TRUE,0
)
)</f>
        <v/>
      </c>
      <c r="BG93" s="873" t="str" cm="1">
        <f t="array" ref="BG93">IF($AE93="","",
_xlfn.IFS(
$BA93="Devis 1",
IF(ISBLANK(AO93),"",IFERROR(VALUE(TRIM(SUBSTITUTE(AO93,CHAR(160),""))),0)*IFERROR(VALUE(TRIM(SUBSTITUTE($AE93,CHAR(160),""))),0)),
$BA93="Devis 2",
IF(ISBLANK(AT93),"",IFERROR(VALUE(TRIM(SUBSTITUTE(AT93,CHAR(160),""))),0)*IFERROR(VALUE(TRIM(SUBSTITUTE($AE93,CHAR(160),""))),0)),
$BA93="Devis 3",
IF(ISBLANK(AY93),"",IFERROR(VALUE(TRIM(SUBSTITUTE(AY93,CHAR(160),""))),0)*IFERROR(VALUE(TRIM(SUBSTITUTE($AE93,CHAR(160),""))),0)),
TRUE,0
)
)</f>
        <v/>
      </c>
      <c r="BH93" s="874" t="str">
        <f t="shared" si="87"/>
        <v/>
      </c>
      <c r="BI93" s="866"/>
      <c r="BJ93" s="774" t="str" cm="1">
        <f t="array" ref="BJ93">IF(OR(BH93="",BE93="",BF93="",BC93="",BG93="",BD93=""),"",_xlfn.IFS(
ROUND(IFERROR(VALUE(TRIM(SUBSTITUTE(BH93,CHAR(160),""))),0),2)&gt;
ROUND(IFERROR(VALUE(TRIM(SUBSTITUTE(BE93,CHAR(160),""))),0),2),
"KO : Le montant retenu TTC est supérieur au montant raisonnable TTC. Merci de revoir la ligne de dépense ou plafonner son montant.",
ROUND(IFERROR(VALUE(TRIM(SUBSTITUTE(BF93,CHAR(160),""))),0),2)&gt;
ROUND(IFERROR(VALUE(TRIM(SUBSTITUTE(BC93,CHAR(160),""))),0),2),
"Attention : Le montant retenu HT est supérieur au montant HT raisonnable. Merci de revoir la ligne de dépense, plafonner son montant, ou justifier la reventillation HT / TVA.",
ROUND(IFERROR(VALUE(TRIM(SUBSTITUTE(BG93,CHAR(160),""))),0),2)&gt;
ROUND(IFERROR(VALUE(TRIM(SUBSTITUTE(BD93,CHAR(160),""))),0),2),
"Attention : Le montant TVA retenu est supérieur au montant TVA raisonnable. Merci de revoir la ligne de dépense, plafonner son montant, ou justifier la reventillation HT / TVA.",
ROUND(IFERROR(VALUE(TRIM(SUBSTITUTE(BH93,CHAR(160),""))),0),2)&gt;
ROUND(IFERROR(VALUE(TRIM(SUBSTITUTE(MIN(N93,S93,X93),CHAR(160),""))),0),2),
"Attention : Le devis retenu n'est pas le moins cher. Une justification de la part du porteur est nécessaire.",
ROUND(IFERROR(VALUE(TRIM(SUBSTITUTE(BH93,CHAR(160),""))),0),2)=0,
"Attention : montant présenté entièrement écarté",
ROUND(IFERROR(VALUE(TRIM(SUBSTITUTE(BE93,CHAR(160),""))),0),2)=
ROUND(IFERROR(VALUE(TRIM(SUBSTITUTE(BH93,CHAR(160),""))),0),2),
"OK",
ROUND(IFERROR(VALUE(TRIM(SUBSTITUTE(BE93,CHAR(160),""))),0),2)&gt;
ROUND(IFERROR(VALUE(TRIM(SUBSTITUTE(BH93,CHAR(160),""))),0),2),
" OK : Montant instruit inférieur au montant raisonnable.",
TRUE,""
))</f>
        <v/>
      </c>
      <c r="BK93" s="774" t="str" cm="1">
        <f t="array" ref="BK93">IF(OR(BH93="",AB93="",BF93="",Z93="",BG93="",AA93=""),"",_xlfn.IFS(
ROUND(IFERROR(VALUE(TRIM(SUBSTITUTE(BH93,CHAR(160),""))),0),2)&gt;
ROUND(IFERROR(VALUE(TRIM(SUBSTITUTE(AB93,CHAR(160),""))),0),2),
"KO : Le montant retenu TTC est supérieur au montant présenté TTC. Merci de revoir la ligne de dépense ou plafonner son montant.",
ROUND(IFERROR(VALUE(TRIM(SUBSTITUTE(BF93,CHAR(160),""))),0),2)&gt;
ROUND(IFERROR(VALUE(TRIM(SUBSTITUTE(Z93,CHAR(160),""))),0),2),
"Attention : Le montant retenu HT est supérieur au montant HT présenté. Merci de revoir la ligne de dépense, plafonner son montant, ou justifier la reventillation HT / TVA.",
ROUND(IFERROR(VALUE(TRIM(SUBSTITUTE(BG93,CHAR(160),""))),0),2)&gt;
ROUND(IFERROR(VALUE(TRIM(SUBSTITUTE(AA93,CHAR(160),""))),0),2),
"Attention : Le montant TVA retenu est supérieur au montant TVA présenté. Merci de revoir la ligne de dépense, plafonner son montant, ou justifier la reventillation HT / TVA.",
ROUND(IFERROR(VALUE(TRIM(SUBSTITUTE(AB93,CHAR(160),""))),0),2)=0,
"",
ROUND(IFERROR(VALUE(TRIM(SUBSTITUTE(BH93,CHAR(160),""))),0),2)=
ROUND(IFERROR(VALUE(TRIM(SUBSTITUTE(AB93,CHAR(160),""))),0),2),
"OK",
ROUND(IFERROR(VALUE(TRIM(SUBSTITUTE(BH93,CHAR(160),""))),0),2)=0,
"Attention : Montant présenté entièrement rejeté.",
ROUND(IFERROR(VALUE(TRIM(SUBSTITUTE(BH93,CHAR(160),""))),0),2)&lt;
ROUND(IFERROR(VALUE(TRIM(SUBSTITUTE(AB93,CHAR(160),""))),0),2),
"Attention : Montant présenté partiellement rejeté.",
TRUE,""
))</f>
        <v/>
      </c>
      <c r="BL93" s="773" t="str">
        <f t="shared" si="88"/>
        <v/>
      </c>
      <c r="BM93" s="773" t="str">
        <f t="shared" si="89"/>
        <v/>
      </c>
      <c r="BN93" s="773" t="str">
        <f t="shared" si="90"/>
        <v/>
      </c>
    </row>
    <row r="94" spans="1:66" ht="15" customHeight="1">
      <c r="A94" s="193">
        <v>90</v>
      </c>
      <c r="B94" s="7"/>
      <c r="C94" s="9"/>
      <c r="D94" s="30"/>
      <c r="E94" s="36"/>
      <c r="F94" s="34"/>
      <c r="G94" s="35"/>
      <c r="H94" s="685"/>
      <c r="I94" s="786"/>
      <c r="J94" s="792"/>
      <c r="K94" s="758"/>
      <c r="L94" s="761"/>
      <c r="M94" s="762"/>
      <c r="N94" s="808" t="str">
        <f t="shared" si="61"/>
        <v/>
      </c>
      <c r="O94" s="846"/>
      <c r="P94" s="847"/>
      <c r="Q94" s="762"/>
      <c r="R94" s="762"/>
      <c r="S94" s="808" t="str">
        <f t="shared" si="62"/>
        <v/>
      </c>
      <c r="T94" s="850"/>
      <c r="U94" s="847"/>
      <c r="V94" s="762"/>
      <c r="W94" s="762"/>
      <c r="X94" s="830" t="str">
        <f t="shared" si="63"/>
        <v/>
      </c>
      <c r="Y94" s="246"/>
      <c r="Z94" s="284" t="str" cm="1">
        <f t="array" ref="Z94">IF((_xlfn.IFS(TRIM(SUBSTITUTE(Y94,CHAR(160),""))="Devis 1",IFERROR(VALUE(TRIM(SUBSTITUTE(L94,CHAR(160),""))),0),TRIM(SUBSTITUTE(Y94,CHAR(160),""))="Devis 2",IFERROR(VALUE(TRIM(SUBSTITUTE(Q94,CHAR(160),""))),0),TRIM(SUBSTITUTE(Y94,CHAR(160),""))="Devis 3",IFERROR(VALUE(TRIM(SUBSTITUTE(V94,CHAR(160),""))),0),TRUE,0)*IFERROR(VALUE(TRIM(SUBSTITUTE(C94,CHAR(160),""))),0))=0,"",_xlfn.IFS(TRIM(SUBSTITUTE(Y94,CHAR(160),""))="Devis 1",IFERROR(VALUE(TRIM(SUBSTITUTE(L94,CHAR(160),""))),0),TRIM(SUBSTITUTE(Y94,CHAR(160),""))="Devis 2",IFERROR(VALUE(TRIM(SUBSTITUTE(Q94,CHAR(160),""))),0),TRIM(SUBSTITUTE(Y94,CHAR(160),""))="Devis 3",IFERROR(VALUE(TRIM(SUBSTITUTE(V94,CHAR(160),""))),0),TRUE,0)*IFERROR(VALUE(TRIM(SUBSTITUTE(C94,CHAR(160),""))),0))</f>
        <v/>
      </c>
      <c r="AA94" s="275" t="str" cm="1">
        <f t="array" ref="AA94">IF((_xlfn.IFS(TRIM(SUBSTITUTE(Y94,CHAR(160),""))="Devis 1",IFERROR(VALUE(TRIM(SUBSTITUTE(M94,CHAR(160),""))),0),TRIM(SUBSTITUTE(Y94,CHAR(160),""))="Devis 2",IFERROR(VALUE(TRIM(SUBSTITUTE(R94,CHAR(160),""))),0),TRIM(SUBSTITUTE(Y94,CHAR(160),""))="Devis 3",IFERROR(VALUE(TRIM(SUBSTITUTE(W94,CHAR(160),""))),0),TRUE,0)*IFERROR(VALUE(TRIM(SUBSTITUTE(C94,CHAR(160),""))),0))=0,IF(Z94&lt;&gt;"",0,""),_xlfn.IFS(TRIM(SUBSTITUTE(Y94,CHAR(160),""))="Devis 1",IFERROR(VALUE(TRIM(SUBSTITUTE(M94,CHAR(160),""))),0),TRIM(SUBSTITUTE(Y94,CHAR(160),""))="Devis 2",IFERROR(VALUE(TRIM(SUBSTITUTE(R94,CHAR(160),""))),0),TRIM(SUBSTITUTE(Y94,CHAR(160),""))="Devis 3",IFERROR(VALUE(TRIM(SUBSTITUTE(W94,CHAR(160),""))),0),TRUE,0)*IFERROR(VALUE(TRIM(SUBSTITUTE(C94,CHAR(160),""))),0))</f>
        <v/>
      </c>
      <c r="AB94" s="285" t="str">
        <f t="shared" si="64"/>
        <v/>
      </c>
      <c r="AC94" s="209"/>
      <c r="AD94" s="747" t="str">
        <f t="shared" si="56"/>
        <v/>
      </c>
      <c r="AE94" s="747" t="str">
        <f t="shared" si="57"/>
        <v/>
      </c>
      <c r="AF94" s="747" t="str">
        <f t="shared" si="58"/>
        <v/>
      </c>
      <c r="AG94" s="747" t="str">
        <f t="shared" si="59"/>
        <v/>
      </c>
      <c r="AH94" s="747" t="str">
        <f t="shared" si="60"/>
        <v/>
      </c>
      <c r="AI94" s="747" t="str">
        <f t="shared" si="65"/>
        <v/>
      </c>
      <c r="AJ94" s="747" t="str">
        <f t="shared" si="66"/>
        <v/>
      </c>
      <c r="AK94" s="776" t="str">
        <f t="shared" si="67"/>
        <v/>
      </c>
      <c r="AL94" s="802" t="str">
        <f t="shared" si="68"/>
        <v/>
      </c>
      <c r="AM94" s="747" t="str">
        <f t="shared" si="69"/>
        <v/>
      </c>
      <c r="AN94" s="771" t="str">
        <f t="shared" si="70"/>
        <v/>
      </c>
      <c r="AO94" s="771" t="str">
        <f t="shared" si="71"/>
        <v/>
      </c>
      <c r="AP94" s="808" t="str">
        <f t="shared" si="72"/>
        <v/>
      </c>
      <c r="AQ94" s="819" t="str">
        <f t="shared" si="73"/>
        <v/>
      </c>
      <c r="AR94" s="771" t="str">
        <f t="shared" si="74"/>
        <v/>
      </c>
      <c r="AS94" s="771" t="str">
        <f t="shared" si="75"/>
        <v/>
      </c>
      <c r="AT94" s="771" t="str">
        <f t="shared" si="76"/>
        <v/>
      </c>
      <c r="AU94" s="808" t="str">
        <f t="shared" si="77"/>
        <v/>
      </c>
      <c r="AV94" s="842" t="str">
        <f t="shared" si="78"/>
        <v/>
      </c>
      <c r="AW94" s="771" t="str">
        <f t="shared" si="79"/>
        <v/>
      </c>
      <c r="AX94" s="771" t="str">
        <f t="shared" si="80"/>
        <v/>
      </c>
      <c r="AY94" s="771" t="str">
        <f t="shared" si="81"/>
        <v/>
      </c>
      <c r="AZ94" s="831" t="str">
        <f t="shared" si="82"/>
        <v/>
      </c>
      <c r="BA94" s="835" t="str">
        <f t="shared" si="83"/>
        <v/>
      </c>
      <c r="BB94" s="772"/>
      <c r="BC94" s="275" t="str">
        <f t="shared" si="84"/>
        <v/>
      </c>
      <c r="BD94" s="275" t="str">
        <f t="shared" si="85"/>
        <v/>
      </c>
      <c r="BE94" s="886" t="str">
        <f t="shared" si="86"/>
        <v/>
      </c>
      <c r="BF94" s="873" t="str" cm="1">
        <f t="array" ref="BF94">IF($AE94="","",
_xlfn.IFS(
$BA94="Devis 1",
IF(ISBLANK(AN94),"",IFERROR(VALUE(TRIM(SUBSTITUTE(AN94,CHAR(160),""))),0)*IFERROR(VALUE(TRIM(SUBSTITUTE($AE94,CHAR(160),""))),0)),
$BA94="Devis 2",
IF(ISBLANK(AS94),"",IFERROR(VALUE(TRIM(SUBSTITUTE(AS94,CHAR(160),""))),0)*IFERROR(VALUE(TRIM(SUBSTITUTE($AE94,CHAR(160),""))),0)),
$BA94="Devis 3",
IF(ISBLANK(AX94),"",IFERROR(VALUE(TRIM(SUBSTITUTE(AX94,CHAR(160),""))),0)*IFERROR(VALUE(TRIM(SUBSTITUTE($AE94,CHAR(160),""))),0)),
TRUE,0
)
)</f>
        <v/>
      </c>
      <c r="BG94" s="873" t="str" cm="1">
        <f t="array" ref="BG94">IF($AE94="","",
_xlfn.IFS(
$BA94="Devis 1",
IF(ISBLANK(AO94),"",IFERROR(VALUE(TRIM(SUBSTITUTE(AO94,CHAR(160),""))),0)*IFERROR(VALUE(TRIM(SUBSTITUTE($AE94,CHAR(160),""))),0)),
$BA94="Devis 2",
IF(ISBLANK(AT94),"",IFERROR(VALUE(TRIM(SUBSTITUTE(AT94,CHAR(160),""))),0)*IFERROR(VALUE(TRIM(SUBSTITUTE($AE94,CHAR(160),""))),0)),
$BA94="Devis 3",
IF(ISBLANK(AY94),"",IFERROR(VALUE(TRIM(SUBSTITUTE(AY94,CHAR(160),""))),0)*IFERROR(VALUE(TRIM(SUBSTITUTE($AE94,CHAR(160),""))),0)),
TRUE,0
)
)</f>
        <v/>
      </c>
      <c r="BH94" s="874" t="str">
        <f t="shared" si="87"/>
        <v/>
      </c>
      <c r="BI94" s="866"/>
      <c r="BJ94" s="774" t="str" cm="1">
        <f t="array" ref="BJ94">IF(OR(BH94="",BE94="",BF94="",BC94="",BG94="",BD94=""),"",_xlfn.IFS(
ROUND(IFERROR(VALUE(TRIM(SUBSTITUTE(BH94,CHAR(160),""))),0),2)&gt;
ROUND(IFERROR(VALUE(TRIM(SUBSTITUTE(BE94,CHAR(160),""))),0),2),
"KO : Le montant retenu TTC est supérieur au montant raisonnable TTC. Merci de revoir la ligne de dépense ou plafonner son montant.",
ROUND(IFERROR(VALUE(TRIM(SUBSTITUTE(BF94,CHAR(160),""))),0),2)&gt;
ROUND(IFERROR(VALUE(TRIM(SUBSTITUTE(BC94,CHAR(160),""))),0),2),
"Attention : Le montant retenu HT est supérieur au montant HT raisonnable. Merci de revoir la ligne de dépense, plafonner son montant, ou justifier la reventillation HT / TVA.",
ROUND(IFERROR(VALUE(TRIM(SUBSTITUTE(BG94,CHAR(160),""))),0),2)&gt;
ROUND(IFERROR(VALUE(TRIM(SUBSTITUTE(BD94,CHAR(160),""))),0),2),
"Attention : Le montant TVA retenu est supérieur au montant TVA raisonnable. Merci de revoir la ligne de dépense, plafonner son montant, ou justifier la reventillation HT / TVA.",
ROUND(IFERROR(VALUE(TRIM(SUBSTITUTE(BH94,CHAR(160),""))),0),2)&gt;
ROUND(IFERROR(VALUE(TRIM(SUBSTITUTE(MIN(N94,S94,X94),CHAR(160),""))),0),2),
"Attention : Le devis retenu n'est pas le moins cher. Une justification de la part du porteur est nécessaire.",
ROUND(IFERROR(VALUE(TRIM(SUBSTITUTE(BH94,CHAR(160),""))),0),2)=0,
"Attention : montant présenté entièrement écarté",
ROUND(IFERROR(VALUE(TRIM(SUBSTITUTE(BE94,CHAR(160),""))),0),2)=
ROUND(IFERROR(VALUE(TRIM(SUBSTITUTE(BH94,CHAR(160),""))),0),2),
"OK",
ROUND(IFERROR(VALUE(TRIM(SUBSTITUTE(BE94,CHAR(160),""))),0),2)&gt;
ROUND(IFERROR(VALUE(TRIM(SUBSTITUTE(BH94,CHAR(160),""))),0),2),
" OK : Montant instruit inférieur au montant raisonnable.",
TRUE,""
))</f>
        <v/>
      </c>
      <c r="BK94" s="774" t="str" cm="1">
        <f t="array" ref="BK94">IF(OR(BH94="",AB94="",BF94="",Z94="",BG94="",AA94=""),"",_xlfn.IFS(
ROUND(IFERROR(VALUE(TRIM(SUBSTITUTE(BH94,CHAR(160),""))),0),2)&gt;
ROUND(IFERROR(VALUE(TRIM(SUBSTITUTE(AB94,CHAR(160),""))),0),2),
"KO : Le montant retenu TTC est supérieur au montant présenté TTC. Merci de revoir la ligne de dépense ou plafonner son montant.",
ROUND(IFERROR(VALUE(TRIM(SUBSTITUTE(BF94,CHAR(160),""))),0),2)&gt;
ROUND(IFERROR(VALUE(TRIM(SUBSTITUTE(Z94,CHAR(160),""))),0),2),
"Attention : Le montant retenu HT est supérieur au montant HT présenté. Merci de revoir la ligne de dépense, plafonner son montant, ou justifier la reventillation HT / TVA.",
ROUND(IFERROR(VALUE(TRIM(SUBSTITUTE(BG94,CHAR(160),""))),0),2)&gt;
ROUND(IFERROR(VALUE(TRIM(SUBSTITUTE(AA94,CHAR(160),""))),0),2),
"Attention : Le montant TVA retenu est supérieur au montant TVA présenté. Merci de revoir la ligne de dépense, plafonner son montant, ou justifier la reventillation HT / TVA.",
ROUND(IFERROR(VALUE(TRIM(SUBSTITUTE(AB94,CHAR(160),""))),0),2)=0,
"",
ROUND(IFERROR(VALUE(TRIM(SUBSTITUTE(BH94,CHAR(160),""))),0),2)=
ROUND(IFERROR(VALUE(TRIM(SUBSTITUTE(AB94,CHAR(160),""))),0),2),
"OK",
ROUND(IFERROR(VALUE(TRIM(SUBSTITUTE(BH94,CHAR(160),""))),0),2)=0,
"Attention : Montant présenté entièrement rejeté.",
ROUND(IFERROR(VALUE(TRIM(SUBSTITUTE(BH94,CHAR(160),""))),0),2)&lt;
ROUND(IFERROR(VALUE(TRIM(SUBSTITUTE(AB94,CHAR(160),""))),0),2),
"Attention : Montant présenté partiellement rejeté.",
TRUE,""
))</f>
        <v/>
      </c>
      <c r="BL94" s="773" t="str">
        <f t="shared" si="88"/>
        <v/>
      </c>
      <c r="BM94" s="773" t="str">
        <f t="shared" si="89"/>
        <v/>
      </c>
      <c r="BN94" s="773" t="str">
        <f t="shared" si="90"/>
        <v/>
      </c>
    </row>
    <row r="95" spans="1:66" ht="15" customHeight="1">
      <c r="A95" s="193">
        <v>91</v>
      </c>
      <c r="B95" s="7"/>
      <c r="C95" s="9"/>
      <c r="D95" s="30"/>
      <c r="E95" s="36"/>
      <c r="F95" s="34"/>
      <c r="G95" s="35"/>
      <c r="H95" s="685"/>
      <c r="I95" s="786"/>
      <c r="J95" s="792"/>
      <c r="K95" s="758"/>
      <c r="L95" s="761"/>
      <c r="M95" s="762"/>
      <c r="N95" s="808" t="str">
        <f t="shared" si="61"/>
        <v/>
      </c>
      <c r="O95" s="846"/>
      <c r="P95" s="847"/>
      <c r="Q95" s="762"/>
      <c r="R95" s="762"/>
      <c r="S95" s="808" t="str">
        <f t="shared" si="62"/>
        <v/>
      </c>
      <c r="T95" s="850"/>
      <c r="U95" s="847"/>
      <c r="V95" s="762"/>
      <c r="W95" s="762"/>
      <c r="X95" s="830" t="str">
        <f t="shared" si="63"/>
        <v/>
      </c>
      <c r="Y95" s="246"/>
      <c r="Z95" s="284" t="str" cm="1">
        <f t="array" ref="Z95">IF((_xlfn.IFS(TRIM(SUBSTITUTE(Y95,CHAR(160),""))="Devis 1",IFERROR(VALUE(TRIM(SUBSTITUTE(L95,CHAR(160),""))),0),TRIM(SUBSTITUTE(Y95,CHAR(160),""))="Devis 2",IFERROR(VALUE(TRIM(SUBSTITUTE(Q95,CHAR(160),""))),0),TRIM(SUBSTITUTE(Y95,CHAR(160),""))="Devis 3",IFERROR(VALUE(TRIM(SUBSTITUTE(V95,CHAR(160),""))),0),TRUE,0)*IFERROR(VALUE(TRIM(SUBSTITUTE(C95,CHAR(160),""))),0))=0,"",_xlfn.IFS(TRIM(SUBSTITUTE(Y95,CHAR(160),""))="Devis 1",IFERROR(VALUE(TRIM(SUBSTITUTE(L95,CHAR(160),""))),0),TRIM(SUBSTITUTE(Y95,CHAR(160),""))="Devis 2",IFERROR(VALUE(TRIM(SUBSTITUTE(Q95,CHAR(160),""))),0),TRIM(SUBSTITUTE(Y95,CHAR(160),""))="Devis 3",IFERROR(VALUE(TRIM(SUBSTITUTE(V95,CHAR(160),""))),0),TRUE,0)*IFERROR(VALUE(TRIM(SUBSTITUTE(C95,CHAR(160),""))),0))</f>
        <v/>
      </c>
      <c r="AA95" s="275" t="str" cm="1">
        <f t="array" ref="AA95">IF((_xlfn.IFS(TRIM(SUBSTITUTE(Y95,CHAR(160),""))="Devis 1",IFERROR(VALUE(TRIM(SUBSTITUTE(M95,CHAR(160),""))),0),TRIM(SUBSTITUTE(Y95,CHAR(160),""))="Devis 2",IFERROR(VALUE(TRIM(SUBSTITUTE(R95,CHAR(160),""))),0),TRIM(SUBSTITUTE(Y95,CHAR(160),""))="Devis 3",IFERROR(VALUE(TRIM(SUBSTITUTE(W95,CHAR(160),""))),0),TRUE,0)*IFERROR(VALUE(TRIM(SUBSTITUTE(C95,CHAR(160),""))),0))=0,IF(Z95&lt;&gt;"",0,""),_xlfn.IFS(TRIM(SUBSTITUTE(Y95,CHAR(160),""))="Devis 1",IFERROR(VALUE(TRIM(SUBSTITUTE(M95,CHAR(160),""))),0),TRIM(SUBSTITUTE(Y95,CHAR(160),""))="Devis 2",IFERROR(VALUE(TRIM(SUBSTITUTE(R95,CHAR(160),""))),0),TRIM(SUBSTITUTE(Y95,CHAR(160),""))="Devis 3",IFERROR(VALUE(TRIM(SUBSTITUTE(W95,CHAR(160),""))),0),TRUE,0)*IFERROR(VALUE(TRIM(SUBSTITUTE(C95,CHAR(160),""))),0))</f>
        <v/>
      </c>
      <c r="AB95" s="285" t="str">
        <f t="shared" si="64"/>
        <v/>
      </c>
      <c r="AC95" s="209"/>
      <c r="AD95" s="747" t="str">
        <f t="shared" si="56"/>
        <v/>
      </c>
      <c r="AE95" s="747" t="str">
        <f t="shared" si="57"/>
        <v/>
      </c>
      <c r="AF95" s="747" t="str">
        <f t="shared" si="58"/>
        <v/>
      </c>
      <c r="AG95" s="747" t="str">
        <f t="shared" si="59"/>
        <v/>
      </c>
      <c r="AH95" s="747" t="str">
        <f t="shared" si="60"/>
        <v/>
      </c>
      <c r="AI95" s="747" t="str">
        <f t="shared" si="65"/>
        <v/>
      </c>
      <c r="AJ95" s="747" t="str">
        <f t="shared" si="66"/>
        <v/>
      </c>
      <c r="AK95" s="776" t="str">
        <f t="shared" si="67"/>
        <v/>
      </c>
      <c r="AL95" s="802" t="str">
        <f t="shared" si="68"/>
        <v/>
      </c>
      <c r="AM95" s="747" t="str">
        <f t="shared" si="69"/>
        <v/>
      </c>
      <c r="AN95" s="771" t="str">
        <f t="shared" si="70"/>
        <v/>
      </c>
      <c r="AO95" s="771" t="str">
        <f t="shared" si="71"/>
        <v/>
      </c>
      <c r="AP95" s="808" t="str">
        <f t="shared" si="72"/>
        <v/>
      </c>
      <c r="AQ95" s="819" t="str">
        <f t="shared" si="73"/>
        <v/>
      </c>
      <c r="AR95" s="771" t="str">
        <f t="shared" si="74"/>
        <v/>
      </c>
      <c r="AS95" s="771" t="str">
        <f t="shared" si="75"/>
        <v/>
      </c>
      <c r="AT95" s="771" t="str">
        <f t="shared" si="76"/>
        <v/>
      </c>
      <c r="AU95" s="808" t="str">
        <f t="shared" si="77"/>
        <v/>
      </c>
      <c r="AV95" s="842" t="str">
        <f t="shared" si="78"/>
        <v/>
      </c>
      <c r="AW95" s="771" t="str">
        <f t="shared" si="79"/>
        <v/>
      </c>
      <c r="AX95" s="771" t="str">
        <f t="shared" si="80"/>
        <v/>
      </c>
      <c r="AY95" s="771" t="str">
        <f t="shared" si="81"/>
        <v/>
      </c>
      <c r="AZ95" s="831" t="str">
        <f t="shared" si="82"/>
        <v/>
      </c>
      <c r="BA95" s="835" t="str">
        <f t="shared" si="83"/>
        <v/>
      </c>
      <c r="BB95" s="772"/>
      <c r="BC95" s="275" t="str">
        <f t="shared" si="84"/>
        <v/>
      </c>
      <c r="BD95" s="275" t="str">
        <f t="shared" si="85"/>
        <v/>
      </c>
      <c r="BE95" s="886" t="str">
        <f t="shared" si="86"/>
        <v/>
      </c>
      <c r="BF95" s="873" t="str" cm="1">
        <f t="array" ref="BF95">IF($AE95="","",
_xlfn.IFS(
$BA95="Devis 1",
IF(ISBLANK(AN95),"",IFERROR(VALUE(TRIM(SUBSTITUTE(AN95,CHAR(160),""))),0)*IFERROR(VALUE(TRIM(SUBSTITUTE($AE95,CHAR(160),""))),0)),
$BA95="Devis 2",
IF(ISBLANK(AS95),"",IFERROR(VALUE(TRIM(SUBSTITUTE(AS95,CHAR(160),""))),0)*IFERROR(VALUE(TRIM(SUBSTITUTE($AE95,CHAR(160),""))),0)),
$BA95="Devis 3",
IF(ISBLANK(AX95),"",IFERROR(VALUE(TRIM(SUBSTITUTE(AX95,CHAR(160),""))),0)*IFERROR(VALUE(TRIM(SUBSTITUTE($AE95,CHAR(160),""))),0)),
TRUE,0
)
)</f>
        <v/>
      </c>
      <c r="BG95" s="873" t="str" cm="1">
        <f t="array" ref="BG95">IF($AE95="","",
_xlfn.IFS(
$BA95="Devis 1",
IF(ISBLANK(AO95),"",IFERROR(VALUE(TRIM(SUBSTITUTE(AO95,CHAR(160),""))),0)*IFERROR(VALUE(TRIM(SUBSTITUTE($AE95,CHAR(160),""))),0)),
$BA95="Devis 2",
IF(ISBLANK(AT95),"",IFERROR(VALUE(TRIM(SUBSTITUTE(AT95,CHAR(160),""))),0)*IFERROR(VALUE(TRIM(SUBSTITUTE($AE95,CHAR(160),""))),0)),
$BA95="Devis 3",
IF(ISBLANK(AY95),"",IFERROR(VALUE(TRIM(SUBSTITUTE(AY95,CHAR(160),""))),0)*IFERROR(VALUE(TRIM(SUBSTITUTE($AE95,CHAR(160),""))),0)),
TRUE,0
)
)</f>
        <v/>
      </c>
      <c r="BH95" s="874" t="str">
        <f t="shared" si="87"/>
        <v/>
      </c>
      <c r="BI95" s="866"/>
      <c r="BJ95" s="774" t="str" cm="1">
        <f t="array" ref="BJ95">IF(OR(BH95="",BE95="",BF95="",BC95="",BG95="",BD95=""),"",_xlfn.IFS(
ROUND(IFERROR(VALUE(TRIM(SUBSTITUTE(BH95,CHAR(160),""))),0),2)&gt;
ROUND(IFERROR(VALUE(TRIM(SUBSTITUTE(BE95,CHAR(160),""))),0),2),
"KO : Le montant retenu TTC est supérieur au montant raisonnable TTC. Merci de revoir la ligne de dépense ou plafonner son montant.",
ROUND(IFERROR(VALUE(TRIM(SUBSTITUTE(BF95,CHAR(160),""))),0),2)&gt;
ROUND(IFERROR(VALUE(TRIM(SUBSTITUTE(BC95,CHAR(160),""))),0),2),
"Attention : Le montant retenu HT est supérieur au montant HT raisonnable. Merci de revoir la ligne de dépense, plafonner son montant, ou justifier la reventillation HT / TVA.",
ROUND(IFERROR(VALUE(TRIM(SUBSTITUTE(BG95,CHAR(160),""))),0),2)&gt;
ROUND(IFERROR(VALUE(TRIM(SUBSTITUTE(BD95,CHAR(160),""))),0),2),
"Attention : Le montant TVA retenu est supérieur au montant TVA raisonnable. Merci de revoir la ligne de dépense, plafonner son montant, ou justifier la reventillation HT / TVA.",
ROUND(IFERROR(VALUE(TRIM(SUBSTITUTE(BH95,CHAR(160),""))),0),2)&gt;
ROUND(IFERROR(VALUE(TRIM(SUBSTITUTE(MIN(N95,S95,X95),CHAR(160),""))),0),2),
"Attention : Le devis retenu n'est pas le moins cher. Une justification de la part du porteur est nécessaire.",
ROUND(IFERROR(VALUE(TRIM(SUBSTITUTE(BH95,CHAR(160),""))),0),2)=0,
"Attention : montant présenté entièrement écarté",
ROUND(IFERROR(VALUE(TRIM(SUBSTITUTE(BE95,CHAR(160),""))),0),2)=
ROUND(IFERROR(VALUE(TRIM(SUBSTITUTE(BH95,CHAR(160),""))),0),2),
"OK",
ROUND(IFERROR(VALUE(TRIM(SUBSTITUTE(BE95,CHAR(160),""))),0),2)&gt;
ROUND(IFERROR(VALUE(TRIM(SUBSTITUTE(BH95,CHAR(160),""))),0),2),
" OK : Montant instruit inférieur au montant raisonnable.",
TRUE,""
))</f>
        <v/>
      </c>
      <c r="BK95" s="774" t="str" cm="1">
        <f t="array" ref="BK95">IF(OR(BH95="",AB95="",BF95="",Z95="",BG95="",AA95=""),"",_xlfn.IFS(
ROUND(IFERROR(VALUE(TRIM(SUBSTITUTE(BH95,CHAR(160),""))),0),2)&gt;
ROUND(IFERROR(VALUE(TRIM(SUBSTITUTE(AB95,CHAR(160),""))),0),2),
"KO : Le montant retenu TTC est supérieur au montant présenté TTC. Merci de revoir la ligne de dépense ou plafonner son montant.",
ROUND(IFERROR(VALUE(TRIM(SUBSTITUTE(BF95,CHAR(160),""))),0),2)&gt;
ROUND(IFERROR(VALUE(TRIM(SUBSTITUTE(Z95,CHAR(160),""))),0),2),
"Attention : Le montant retenu HT est supérieur au montant HT présenté. Merci de revoir la ligne de dépense, plafonner son montant, ou justifier la reventillation HT / TVA.",
ROUND(IFERROR(VALUE(TRIM(SUBSTITUTE(BG95,CHAR(160),""))),0),2)&gt;
ROUND(IFERROR(VALUE(TRIM(SUBSTITUTE(AA95,CHAR(160),""))),0),2),
"Attention : Le montant TVA retenu est supérieur au montant TVA présenté. Merci de revoir la ligne de dépense, plafonner son montant, ou justifier la reventillation HT / TVA.",
ROUND(IFERROR(VALUE(TRIM(SUBSTITUTE(AB95,CHAR(160),""))),0),2)=0,
"",
ROUND(IFERROR(VALUE(TRIM(SUBSTITUTE(BH95,CHAR(160),""))),0),2)=
ROUND(IFERROR(VALUE(TRIM(SUBSTITUTE(AB95,CHAR(160),""))),0),2),
"OK",
ROUND(IFERROR(VALUE(TRIM(SUBSTITUTE(BH95,CHAR(160),""))),0),2)=0,
"Attention : Montant présenté entièrement rejeté.",
ROUND(IFERROR(VALUE(TRIM(SUBSTITUTE(BH95,CHAR(160),""))),0),2)&lt;
ROUND(IFERROR(VALUE(TRIM(SUBSTITUTE(AB95,CHAR(160),""))),0),2),
"Attention : Montant présenté partiellement rejeté.",
TRUE,""
))</f>
        <v/>
      </c>
      <c r="BL95" s="773" t="str">
        <f t="shared" si="88"/>
        <v/>
      </c>
      <c r="BM95" s="773" t="str">
        <f t="shared" si="89"/>
        <v/>
      </c>
      <c r="BN95" s="773" t="str">
        <f t="shared" si="90"/>
        <v/>
      </c>
    </row>
    <row r="96" spans="1:66" ht="15" customHeight="1">
      <c r="A96" s="193">
        <v>92</v>
      </c>
      <c r="B96" s="7"/>
      <c r="C96" s="9"/>
      <c r="D96" s="30"/>
      <c r="E96" s="36"/>
      <c r="F96" s="34"/>
      <c r="G96" s="35"/>
      <c r="H96" s="685"/>
      <c r="I96" s="786"/>
      <c r="J96" s="792"/>
      <c r="K96" s="758"/>
      <c r="L96" s="761"/>
      <c r="M96" s="762"/>
      <c r="N96" s="808" t="str">
        <f t="shared" si="61"/>
        <v/>
      </c>
      <c r="O96" s="846"/>
      <c r="P96" s="847"/>
      <c r="Q96" s="762"/>
      <c r="R96" s="762"/>
      <c r="S96" s="808" t="str">
        <f t="shared" si="62"/>
        <v/>
      </c>
      <c r="T96" s="850"/>
      <c r="U96" s="847"/>
      <c r="V96" s="762"/>
      <c r="W96" s="762"/>
      <c r="X96" s="830" t="str">
        <f t="shared" si="63"/>
        <v/>
      </c>
      <c r="Y96" s="246"/>
      <c r="Z96" s="284" t="str" cm="1">
        <f t="array" ref="Z96">IF((_xlfn.IFS(TRIM(SUBSTITUTE(Y96,CHAR(160),""))="Devis 1",IFERROR(VALUE(TRIM(SUBSTITUTE(L96,CHAR(160),""))),0),TRIM(SUBSTITUTE(Y96,CHAR(160),""))="Devis 2",IFERROR(VALUE(TRIM(SUBSTITUTE(Q96,CHAR(160),""))),0),TRIM(SUBSTITUTE(Y96,CHAR(160),""))="Devis 3",IFERROR(VALUE(TRIM(SUBSTITUTE(V96,CHAR(160),""))),0),TRUE,0)*IFERROR(VALUE(TRIM(SUBSTITUTE(C96,CHAR(160),""))),0))=0,"",_xlfn.IFS(TRIM(SUBSTITUTE(Y96,CHAR(160),""))="Devis 1",IFERROR(VALUE(TRIM(SUBSTITUTE(L96,CHAR(160),""))),0),TRIM(SUBSTITUTE(Y96,CHAR(160),""))="Devis 2",IFERROR(VALUE(TRIM(SUBSTITUTE(Q96,CHAR(160),""))),0),TRIM(SUBSTITUTE(Y96,CHAR(160),""))="Devis 3",IFERROR(VALUE(TRIM(SUBSTITUTE(V96,CHAR(160),""))),0),TRUE,0)*IFERROR(VALUE(TRIM(SUBSTITUTE(C96,CHAR(160),""))),0))</f>
        <v/>
      </c>
      <c r="AA96" s="275" t="str" cm="1">
        <f t="array" ref="AA96">IF((_xlfn.IFS(TRIM(SUBSTITUTE(Y96,CHAR(160),""))="Devis 1",IFERROR(VALUE(TRIM(SUBSTITUTE(M96,CHAR(160),""))),0),TRIM(SUBSTITUTE(Y96,CHAR(160),""))="Devis 2",IFERROR(VALUE(TRIM(SUBSTITUTE(R96,CHAR(160),""))),0),TRIM(SUBSTITUTE(Y96,CHAR(160),""))="Devis 3",IFERROR(VALUE(TRIM(SUBSTITUTE(W96,CHAR(160),""))),0),TRUE,0)*IFERROR(VALUE(TRIM(SUBSTITUTE(C96,CHAR(160),""))),0))=0,IF(Z96&lt;&gt;"",0,""),_xlfn.IFS(TRIM(SUBSTITUTE(Y96,CHAR(160),""))="Devis 1",IFERROR(VALUE(TRIM(SUBSTITUTE(M96,CHAR(160),""))),0),TRIM(SUBSTITUTE(Y96,CHAR(160),""))="Devis 2",IFERROR(VALUE(TRIM(SUBSTITUTE(R96,CHAR(160),""))),0),TRIM(SUBSTITUTE(Y96,CHAR(160),""))="Devis 3",IFERROR(VALUE(TRIM(SUBSTITUTE(W96,CHAR(160),""))),0),TRUE,0)*IFERROR(VALUE(TRIM(SUBSTITUTE(C96,CHAR(160),""))),0))</f>
        <v/>
      </c>
      <c r="AB96" s="285" t="str">
        <f t="shared" si="64"/>
        <v/>
      </c>
      <c r="AC96" s="209"/>
      <c r="AD96" s="747" t="str">
        <f t="shared" si="56"/>
        <v/>
      </c>
      <c r="AE96" s="747" t="str">
        <f t="shared" si="57"/>
        <v/>
      </c>
      <c r="AF96" s="747" t="str">
        <f t="shared" si="58"/>
        <v/>
      </c>
      <c r="AG96" s="747" t="str">
        <f t="shared" si="59"/>
        <v/>
      </c>
      <c r="AH96" s="747" t="str">
        <f t="shared" si="60"/>
        <v/>
      </c>
      <c r="AI96" s="747" t="str">
        <f t="shared" si="65"/>
        <v/>
      </c>
      <c r="AJ96" s="747" t="str">
        <f t="shared" si="66"/>
        <v/>
      </c>
      <c r="AK96" s="776" t="str">
        <f t="shared" si="67"/>
        <v/>
      </c>
      <c r="AL96" s="802" t="str">
        <f t="shared" si="68"/>
        <v/>
      </c>
      <c r="AM96" s="747" t="str">
        <f t="shared" si="69"/>
        <v/>
      </c>
      <c r="AN96" s="771" t="str">
        <f t="shared" si="70"/>
        <v/>
      </c>
      <c r="AO96" s="771" t="str">
        <f t="shared" si="71"/>
        <v/>
      </c>
      <c r="AP96" s="808" t="str">
        <f t="shared" si="72"/>
        <v/>
      </c>
      <c r="AQ96" s="819" t="str">
        <f t="shared" si="73"/>
        <v/>
      </c>
      <c r="AR96" s="771" t="str">
        <f t="shared" si="74"/>
        <v/>
      </c>
      <c r="AS96" s="771" t="str">
        <f t="shared" si="75"/>
        <v/>
      </c>
      <c r="AT96" s="771" t="str">
        <f t="shared" si="76"/>
        <v/>
      </c>
      <c r="AU96" s="808" t="str">
        <f t="shared" si="77"/>
        <v/>
      </c>
      <c r="AV96" s="842" t="str">
        <f t="shared" si="78"/>
        <v/>
      </c>
      <c r="AW96" s="771" t="str">
        <f t="shared" si="79"/>
        <v/>
      </c>
      <c r="AX96" s="771" t="str">
        <f t="shared" si="80"/>
        <v/>
      </c>
      <c r="AY96" s="771" t="str">
        <f t="shared" si="81"/>
        <v/>
      </c>
      <c r="AZ96" s="831" t="str">
        <f t="shared" si="82"/>
        <v/>
      </c>
      <c r="BA96" s="835" t="str">
        <f t="shared" si="83"/>
        <v/>
      </c>
      <c r="BB96" s="772"/>
      <c r="BC96" s="275" t="str">
        <f t="shared" si="84"/>
        <v/>
      </c>
      <c r="BD96" s="275" t="str">
        <f t="shared" si="85"/>
        <v/>
      </c>
      <c r="BE96" s="886" t="str">
        <f t="shared" si="86"/>
        <v/>
      </c>
      <c r="BF96" s="873" t="str" cm="1">
        <f t="array" ref="BF96">IF($AE96="","",
_xlfn.IFS(
$BA96="Devis 1",
IF(ISBLANK(AN96),"",IFERROR(VALUE(TRIM(SUBSTITUTE(AN96,CHAR(160),""))),0)*IFERROR(VALUE(TRIM(SUBSTITUTE($AE96,CHAR(160),""))),0)),
$BA96="Devis 2",
IF(ISBLANK(AS96),"",IFERROR(VALUE(TRIM(SUBSTITUTE(AS96,CHAR(160),""))),0)*IFERROR(VALUE(TRIM(SUBSTITUTE($AE96,CHAR(160),""))),0)),
$BA96="Devis 3",
IF(ISBLANK(AX96),"",IFERROR(VALUE(TRIM(SUBSTITUTE(AX96,CHAR(160),""))),0)*IFERROR(VALUE(TRIM(SUBSTITUTE($AE96,CHAR(160),""))),0)),
TRUE,0
)
)</f>
        <v/>
      </c>
      <c r="BG96" s="873" t="str" cm="1">
        <f t="array" ref="BG96">IF($AE96="","",
_xlfn.IFS(
$BA96="Devis 1",
IF(ISBLANK(AO96),"",IFERROR(VALUE(TRIM(SUBSTITUTE(AO96,CHAR(160),""))),0)*IFERROR(VALUE(TRIM(SUBSTITUTE($AE96,CHAR(160),""))),0)),
$BA96="Devis 2",
IF(ISBLANK(AT96),"",IFERROR(VALUE(TRIM(SUBSTITUTE(AT96,CHAR(160),""))),0)*IFERROR(VALUE(TRIM(SUBSTITUTE($AE96,CHAR(160),""))),0)),
$BA96="Devis 3",
IF(ISBLANK(AY96),"",IFERROR(VALUE(TRIM(SUBSTITUTE(AY96,CHAR(160),""))),0)*IFERROR(VALUE(TRIM(SUBSTITUTE($AE96,CHAR(160),""))),0)),
TRUE,0
)
)</f>
        <v/>
      </c>
      <c r="BH96" s="874" t="str">
        <f t="shared" si="87"/>
        <v/>
      </c>
      <c r="BI96" s="866"/>
      <c r="BJ96" s="774" t="str" cm="1">
        <f t="array" ref="BJ96">IF(OR(BH96="",BE96="",BF96="",BC96="",BG96="",BD96=""),"",_xlfn.IFS(
ROUND(IFERROR(VALUE(TRIM(SUBSTITUTE(BH96,CHAR(160),""))),0),2)&gt;
ROUND(IFERROR(VALUE(TRIM(SUBSTITUTE(BE96,CHAR(160),""))),0),2),
"KO : Le montant retenu TTC est supérieur au montant raisonnable TTC. Merci de revoir la ligne de dépense ou plafonner son montant.",
ROUND(IFERROR(VALUE(TRIM(SUBSTITUTE(BF96,CHAR(160),""))),0),2)&gt;
ROUND(IFERROR(VALUE(TRIM(SUBSTITUTE(BC96,CHAR(160),""))),0),2),
"Attention : Le montant retenu HT est supérieur au montant HT raisonnable. Merci de revoir la ligne de dépense, plafonner son montant, ou justifier la reventillation HT / TVA.",
ROUND(IFERROR(VALUE(TRIM(SUBSTITUTE(BG96,CHAR(160),""))),0),2)&gt;
ROUND(IFERROR(VALUE(TRIM(SUBSTITUTE(BD96,CHAR(160),""))),0),2),
"Attention : Le montant TVA retenu est supérieur au montant TVA raisonnable. Merci de revoir la ligne de dépense, plafonner son montant, ou justifier la reventillation HT / TVA.",
ROUND(IFERROR(VALUE(TRIM(SUBSTITUTE(BH96,CHAR(160),""))),0),2)&gt;
ROUND(IFERROR(VALUE(TRIM(SUBSTITUTE(MIN(N96,S96,X96),CHAR(160),""))),0),2),
"Attention : Le devis retenu n'est pas le moins cher. Une justification de la part du porteur est nécessaire.",
ROUND(IFERROR(VALUE(TRIM(SUBSTITUTE(BH96,CHAR(160),""))),0),2)=0,
"Attention : montant présenté entièrement écarté",
ROUND(IFERROR(VALUE(TRIM(SUBSTITUTE(BE96,CHAR(160),""))),0),2)=
ROUND(IFERROR(VALUE(TRIM(SUBSTITUTE(BH96,CHAR(160),""))),0),2),
"OK",
ROUND(IFERROR(VALUE(TRIM(SUBSTITUTE(BE96,CHAR(160),""))),0),2)&gt;
ROUND(IFERROR(VALUE(TRIM(SUBSTITUTE(BH96,CHAR(160),""))),0),2),
" OK : Montant instruit inférieur au montant raisonnable.",
TRUE,""
))</f>
        <v/>
      </c>
      <c r="BK96" s="774" t="str" cm="1">
        <f t="array" ref="BK96">IF(OR(BH96="",AB96="",BF96="",Z96="",BG96="",AA96=""),"",_xlfn.IFS(
ROUND(IFERROR(VALUE(TRIM(SUBSTITUTE(BH96,CHAR(160),""))),0),2)&gt;
ROUND(IFERROR(VALUE(TRIM(SUBSTITUTE(AB96,CHAR(160),""))),0),2),
"KO : Le montant retenu TTC est supérieur au montant présenté TTC. Merci de revoir la ligne de dépense ou plafonner son montant.",
ROUND(IFERROR(VALUE(TRIM(SUBSTITUTE(BF96,CHAR(160),""))),0),2)&gt;
ROUND(IFERROR(VALUE(TRIM(SUBSTITUTE(Z96,CHAR(160),""))),0),2),
"Attention : Le montant retenu HT est supérieur au montant HT présenté. Merci de revoir la ligne de dépense, plafonner son montant, ou justifier la reventillation HT / TVA.",
ROUND(IFERROR(VALUE(TRIM(SUBSTITUTE(BG96,CHAR(160),""))),0),2)&gt;
ROUND(IFERROR(VALUE(TRIM(SUBSTITUTE(AA96,CHAR(160),""))),0),2),
"Attention : Le montant TVA retenu est supérieur au montant TVA présenté. Merci de revoir la ligne de dépense, plafonner son montant, ou justifier la reventillation HT / TVA.",
ROUND(IFERROR(VALUE(TRIM(SUBSTITUTE(AB96,CHAR(160),""))),0),2)=0,
"",
ROUND(IFERROR(VALUE(TRIM(SUBSTITUTE(BH96,CHAR(160),""))),0),2)=
ROUND(IFERROR(VALUE(TRIM(SUBSTITUTE(AB96,CHAR(160),""))),0),2),
"OK",
ROUND(IFERROR(VALUE(TRIM(SUBSTITUTE(BH96,CHAR(160),""))),0),2)=0,
"Attention : Montant présenté entièrement rejeté.",
ROUND(IFERROR(VALUE(TRIM(SUBSTITUTE(BH96,CHAR(160),""))),0),2)&lt;
ROUND(IFERROR(VALUE(TRIM(SUBSTITUTE(AB96,CHAR(160),""))),0),2),
"Attention : Montant présenté partiellement rejeté.",
TRUE,""
))</f>
        <v/>
      </c>
      <c r="BL96" s="773" t="str">
        <f t="shared" si="88"/>
        <v/>
      </c>
      <c r="BM96" s="773" t="str">
        <f t="shared" si="89"/>
        <v/>
      </c>
      <c r="BN96" s="773" t="str">
        <f t="shared" si="90"/>
        <v/>
      </c>
    </row>
    <row r="97" spans="1:66" ht="15" customHeight="1">
      <c r="A97" s="193">
        <v>93</v>
      </c>
      <c r="B97" s="7"/>
      <c r="C97" s="9"/>
      <c r="D97" s="30"/>
      <c r="E97" s="36"/>
      <c r="F97" s="34"/>
      <c r="G97" s="35"/>
      <c r="H97" s="685"/>
      <c r="I97" s="786"/>
      <c r="J97" s="792"/>
      <c r="K97" s="758"/>
      <c r="L97" s="761"/>
      <c r="M97" s="762"/>
      <c r="N97" s="808" t="str">
        <f t="shared" si="61"/>
        <v/>
      </c>
      <c r="O97" s="846"/>
      <c r="P97" s="847"/>
      <c r="Q97" s="762"/>
      <c r="R97" s="762"/>
      <c r="S97" s="808" t="str">
        <f t="shared" si="62"/>
        <v/>
      </c>
      <c r="T97" s="850"/>
      <c r="U97" s="847"/>
      <c r="V97" s="762"/>
      <c r="W97" s="762"/>
      <c r="X97" s="830" t="str">
        <f t="shared" si="63"/>
        <v/>
      </c>
      <c r="Y97" s="246"/>
      <c r="Z97" s="284" t="str" cm="1">
        <f t="array" ref="Z97">IF((_xlfn.IFS(TRIM(SUBSTITUTE(Y97,CHAR(160),""))="Devis 1",IFERROR(VALUE(TRIM(SUBSTITUTE(L97,CHAR(160),""))),0),TRIM(SUBSTITUTE(Y97,CHAR(160),""))="Devis 2",IFERROR(VALUE(TRIM(SUBSTITUTE(Q97,CHAR(160),""))),0),TRIM(SUBSTITUTE(Y97,CHAR(160),""))="Devis 3",IFERROR(VALUE(TRIM(SUBSTITUTE(V97,CHAR(160),""))),0),TRUE,0)*IFERROR(VALUE(TRIM(SUBSTITUTE(C97,CHAR(160),""))),0))=0,"",_xlfn.IFS(TRIM(SUBSTITUTE(Y97,CHAR(160),""))="Devis 1",IFERROR(VALUE(TRIM(SUBSTITUTE(L97,CHAR(160),""))),0),TRIM(SUBSTITUTE(Y97,CHAR(160),""))="Devis 2",IFERROR(VALUE(TRIM(SUBSTITUTE(Q97,CHAR(160),""))),0),TRIM(SUBSTITUTE(Y97,CHAR(160),""))="Devis 3",IFERROR(VALUE(TRIM(SUBSTITUTE(V97,CHAR(160),""))),0),TRUE,0)*IFERROR(VALUE(TRIM(SUBSTITUTE(C97,CHAR(160),""))),0))</f>
        <v/>
      </c>
      <c r="AA97" s="275" t="str" cm="1">
        <f t="array" ref="AA97">IF((_xlfn.IFS(TRIM(SUBSTITUTE(Y97,CHAR(160),""))="Devis 1",IFERROR(VALUE(TRIM(SUBSTITUTE(M97,CHAR(160),""))),0),TRIM(SUBSTITUTE(Y97,CHAR(160),""))="Devis 2",IFERROR(VALUE(TRIM(SUBSTITUTE(R97,CHAR(160),""))),0),TRIM(SUBSTITUTE(Y97,CHAR(160),""))="Devis 3",IFERROR(VALUE(TRIM(SUBSTITUTE(W97,CHAR(160),""))),0),TRUE,0)*IFERROR(VALUE(TRIM(SUBSTITUTE(C97,CHAR(160),""))),0))=0,IF(Z97&lt;&gt;"",0,""),_xlfn.IFS(TRIM(SUBSTITUTE(Y97,CHAR(160),""))="Devis 1",IFERROR(VALUE(TRIM(SUBSTITUTE(M97,CHAR(160),""))),0),TRIM(SUBSTITUTE(Y97,CHAR(160),""))="Devis 2",IFERROR(VALUE(TRIM(SUBSTITUTE(R97,CHAR(160),""))),0),TRIM(SUBSTITUTE(Y97,CHAR(160),""))="Devis 3",IFERROR(VALUE(TRIM(SUBSTITUTE(W97,CHAR(160),""))),0),TRUE,0)*IFERROR(VALUE(TRIM(SUBSTITUTE(C97,CHAR(160),""))),0))</f>
        <v/>
      </c>
      <c r="AB97" s="285" t="str">
        <f t="shared" si="64"/>
        <v/>
      </c>
      <c r="AC97" s="209"/>
      <c r="AD97" s="747" t="str">
        <f t="shared" si="56"/>
        <v/>
      </c>
      <c r="AE97" s="747" t="str">
        <f t="shared" si="57"/>
        <v/>
      </c>
      <c r="AF97" s="747" t="str">
        <f t="shared" si="58"/>
        <v/>
      </c>
      <c r="AG97" s="747" t="str">
        <f t="shared" si="59"/>
        <v/>
      </c>
      <c r="AH97" s="747" t="str">
        <f t="shared" si="60"/>
        <v/>
      </c>
      <c r="AI97" s="747" t="str">
        <f t="shared" si="65"/>
        <v/>
      </c>
      <c r="AJ97" s="747" t="str">
        <f t="shared" si="66"/>
        <v/>
      </c>
      <c r="AK97" s="776" t="str">
        <f t="shared" si="67"/>
        <v/>
      </c>
      <c r="AL97" s="802" t="str">
        <f t="shared" si="68"/>
        <v/>
      </c>
      <c r="AM97" s="747" t="str">
        <f t="shared" si="69"/>
        <v/>
      </c>
      <c r="AN97" s="771" t="str">
        <f t="shared" si="70"/>
        <v/>
      </c>
      <c r="AO97" s="771" t="str">
        <f t="shared" si="71"/>
        <v/>
      </c>
      <c r="AP97" s="808" t="str">
        <f t="shared" si="72"/>
        <v/>
      </c>
      <c r="AQ97" s="819" t="str">
        <f t="shared" si="73"/>
        <v/>
      </c>
      <c r="AR97" s="771" t="str">
        <f t="shared" si="74"/>
        <v/>
      </c>
      <c r="AS97" s="771" t="str">
        <f t="shared" si="75"/>
        <v/>
      </c>
      <c r="AT97" s="771" t="str">
        <f t="shared" si="76"/>
        <v/>
      </c>
      <c r="AU97" s="808" t="str">
        <f t="shared" si="77"/>
        <v/>
      </c>
      <c r="AV97" s="842" t="str">
        <f t="shared" si="78"/>
        <v/>
      </c>
      <c r="AW97" s="771" t="str">
        <f t="shared" si="79"/>
        <v/>
      </c>
      <c r="AX97" s="771" t="str">
        <f t="shared" si="80"/>
        <v/>
      </c>
      <c r="AY97" s="771" t="str">
        <f t="shared" si="81"/>
        <v/>
      </c>
      <c r="AZ97" s="831" t="str">
        <f t="shared" si="82"/>
        <v/>
      </c>
      <c r="BA97" s="835" t="str">
        <f t="shared" si="83"/>
        <v/>
      </c>
      <c r="BB97" s="772"/>
      <c r="BC97" s="275" t="str">
        <f t="shared" si="84"/>
        <v/>
      </c>
      <c r="BD97" s="275" t="str">
        <f t="shared" si="85"/>
        <v/>
      </c>
      <c r="BE97" s="886" t="str">
        <f t="shared" si="86"/>
        <v/>
      </c>
      <c r="BF97" s="873" t="str" cm="1">
        <f t="array" ref="BF97">IF($AE97="","",
_xlfn.IFS(
$BA97="Devis 1",
IF(ISBLANK(AN97),"",IFERROR(VALUE(TRIM(SUBSTITUTE(AN97,CHAR(160),""))),0)*IFERROR(VALUE(TRIM(SUBSTITUTE($AE97,CHAR(160),""))),0)),
$BA97="Devis 2",
IF(ISBLANK(AS97),"",IFERROR(VALUE(TRIM(SUBSTITUTE(AS97,CHAR(160),""))),0)*IFERROR(VALUE(TRIM(SUBSTITUTE($AE97,CHAR(160),""))),0)),
$BA97="Devis 3",
IF(ISBLANK(AX97),"",IFERROR(VALUE(TRIM(SUBSTITUTE(AX97,CHAR(160),""))),0)*IFERROR(VALUE(TRIM(SUBSTITUTE($AE97,CHAR(160),""))),0)),
TRUE,0
)
)</f>
        <v/>
      </c>
      <c r="BG97" s="873" t="str" cm="1">
        <f t="array" ref="BG97">IF($AE97="","",
_xlfn.IFS(
$BA97="Devis 1",
IF(ISBLANK(AO97),"",IFERROR(VALUE(TRIM(SUBSTITUTE(AO97,CHAR(160),""))),0)*IFERROR(VALUE(TRIM(SUBSTITUTE($AE97,CHAR(160),""))),0)),
$BA97="Devis 2",
IF(ISBLANK(AT97),"",IFERROR(VALUE(TRIM(SUBSTITUTE(AT97,CHAR(160),""))),0)*IFERROR(VALUE(TRIM(SUBSTITUTE($AE97,CHAR(160),""))),0)),
$BA97="Devis 3",
IF(ISBLANK(AY97),"",IFERROR(VALUE(TRIM(SUBSTITUTE(AY97,CHAR(160),""))),0)*IFERROR(VALUE(TRIM(SUBSTITUTE($AE97,CHAR(160),""))),0)),
TRUE,0
)
)</f>
        <v/>
      </c>
      <c r="BH97" s="874" t="str">
        <f t="shared" si="87"/>
        <v/>
      </c>
      <c r="BI97" s="866"/>
      <c r="BJ97" s="774" t="str" cm="1">
        <f t="array" ref="BJ97">IF(OR(BH97="",BE97="",BF97="",BC97="",BG97="",BD97=""),"",_xlfn.IFS(
ROUND(IFERROR(VALUE(TRIM(SUBSTITUTE(BH97,CHAR(160),""))),0),2)&gt;
ROUND(IFERROR(VALUE(TRIM(SUBSTITUTE(BE97,CHAR(160),""))),0),2),
"KO : Le montant retenu TTC est supérieur au montant raisonnable TTC. Merci de revoir la ligne de dépense ou plafonner son montant.",
ROUND(IFERROR(VALUE(TRIM(SUBSTITUTE(BF97,CHAR(160),""))),0),2)&gt;
ROUND(IFERROR(VALUE(TRIM(SUBSTITUTE(BC97,CHAR(160),""))),0),2),
"Attention : Le montant retenu HT est supérieur au montant HT raisonnable. Merci de revoir la ligne de dépense, plafonner son montant, ou justifier la reventillation HT / TVA.",
ROUND(IFERROR(VALUE(TRIM(SUBSTITUTE(BG97,CHAR(160),""))),0),2)&gt;
ROUND(IFERROR(VALUE(TRIM(SUBSTITUTE(BD97,CHAR(160),""))),0),2),
"Attention : Le montant TVA retenu est supérieur au montant TVA raisonnable. Merci de revoir la ligne de dépense, plafonner son montant, ou justifier la reventillation HT / TVA.",
ROUND(IFERROR(VALUE(TRIM(SUBSTITUTE(BH97,CHAR(160),""))),0),2)&gt;
ROUND(IFERROR(VALUE(TRIM(SUBSTITUTE(MIN(N97,S97,X97),CHAR(160),""))),0),2),
"Attention : Le devis retenu n'est pas le moins cher. Une justification de la part du porteur est nécessaire.",
ROUND(IFERROR(VALUE(TRIM(SUBSTITUTE(BH97,CHAR(160),""))),0),2)=0,
"Attention : montant présenté entièrement écarté",
ROUND(IFERROR(VALUE(TRIM(SUBSTITUTE(BE97,CHAR(160),""))),0),2)=
ROUND(IFERROR(VALUE(TRIM(SUBSTITUTE(BH97,CHAR(160),""))),0),2),
"OK",
ROUND(IFERROR(VALUE(TRIM(SUBSTITUTE(BE97,CHAR(160),""))),0),2)&gt;
ROUND(IFERROR(VALUE(TRIM(SUBSTITUTE(BH97,CHAR(160),""))),0),2),
" OK : Montant instruit inférieur au montant raisonnable.",
TRUE,""
))</f>
        <v/>
      </c>
      <c r="BK97" s="774" t="str" cm="1">
        <f t="array" ref="BK97">IF(OR(BH97="",AB97="",BF97="",Z97="",BG97="",AA97=""),"",_xlfn.IFS(
ROUND(IFERROR(VALUE(TRIM(SUBSTITUTE(BH97,CHAR(160),""))),0),2)&gt;
ROUND(IFERROR(VALUE(TRIM(SUBSTITUTE(AB97,CHAR(160),""))),0),2),
"KO : Le montant retenu TTC est supérieur au montant présenté TTC. Merci de revoir la ligne de dépense ou plafonner son montant.",
ROUND(IFERROR(VALUE(TRIM(SUBSTITUTE(BF97,CHAR(160),""))),0),2)&gt;
ROUND(IFERROR(VALUE(TRIM(SUBSTITUTE(Z97,CHAR(160),""))),0),2),
"Attention : Le montant retenu HT est supérieur au montant HT présenté. Merci de revoir la ligne de dépense, plafonner son montant, ou justifier la reventillation HT / TVA.",
ROUND(IFERROR(VALUE(TRIM(SUBSTITUTE(BG97,CHAR(160),""))),0),2)&gt;
ROUND(IFERROR(VALUE(TRIM(SUBSTITUTE(AA97,CHAR(160),""))),0),2),
"Attention : Le montant TVA retenu est supérieur au montant TVA présenté. Merci de revoir la ligne de dépense, plafonner son montant, ou justifier la reventillation HT / TVA.",
ROUND(IFERROR(VALUE(TRIM(SUBSTITUTE(AB97,CHAR(160),""))),0),2)=0,
"",
ROUND(IFERROR(VALUE(TRIM(SUBSTITUTE(BH97,CHAR(160),""))),0),2)=
ROUND(IFERROR(VALUE(TRIM(SUBSTITUTE(AB97,CHAR(160),""))),0),2),
"OK",
ROUND(IFERROR(VALUE(TRIM(SUBSTITUTE(BH97,CHAR(160),""))),0),2)=0,
"Attention : Montant présenté entièrement rejeté.",
ROUND(IFERROR(VALUE(TRIM(SUBSTITUTE(BH97,CHAR(160),""))),0),2)&lt;
ROUND(IFERROR(VALUE(TRIM(SUBSTITUTE(AB97,CHAR(160),""))),0),2),
"Attention : Montant présenté partiellement rejeté.",
TRUE,""
))</f>
        <v/>
      </c>
      <c r="BL97" s="773" t="str">
        <f t="shared" si="88"/>
        <v/>
      </c>
      <c r="BM97" s="773" t="str">
        <f t="shared" si="89"/>
        <v/>
      </c>
      <c r="BN97" s="773" t="str">
        <f t="shared" si="90"/>
        <v/>
      </c>
    </row>
    <row r="98" spans="1:66" ht="15" customHeight="1">
      <c r="A98" s="193">
        <v>94</v>
      </c>
      <c r="B98" s="7"/>
      <c r="C98" s="9"/>
      <c r="D98" s="30"/>
      <c r="E98" s="36"/>
      <c r="F98" s="34"/>
      <c r="G98" s="35"/>
      <c r="H98" s="685"/>
      <c r="I98" s="786"/>
      <c r="J98" s="792"/>
      <c r="K98" s="758"/>
      <c r="L98" s="761"/>
      <c r="M98" s="762"/>
      <c r="N98" s="808" t="str">
        <f t="shared" si="61"/>
        <v/>
      </c>
      <c r="O98" s="846"/>
      <c r="P98" s="847"/>
      <c r="Q98" s="762"/>
      <c r="R98" s="762"/>
      <c r="S98" s="808" t="str">
        <f t="shared" si="62"/>
        <v/>
      </c>
      <c r="T98" s="850"/>
      <c r="U98" s="847"/>
      <c r="V98" s="762"/>
      <c r="W98" s="762"/>
      <c r="X98" s="830" t="str">
        <f t="shared" si="63"/>
        <v/>
      </c>
      <c r="Y98" s="246"/>
      <c r="Z98" s="284" t="str" cm="1">
        <f t="array" ref="Z98">IF((_xlfn.IFS(TRIM(SUBSTITUTE(Y98,CHAR(160),""))="Devis 1",IFERROR(VALUE(TRIM(SUBSTITUTE(L98,CHAR(160),""))),0),TRIM(SUBSTITUTE(Y98,CHAR(160),""))="Devis 2",IFERROR(VALUE(TRIM(SUBSTITUTE(Q98,CHAR(160),""))),0),TRIM(SUBSTITUTE(Y98,CHAR(160),""))="Devis 3",IFERROR(VALUE(TRIM(SUBSTITUTE(V98,CHAR(160),""))),0),TRUE,0)*IFERROR(VALUE(TRIM(SUBSTITUTE(C98,CHAR(160),""))),0))=0,"",_xlfn.IFS(TRIM(SUBSTITUTE(Y98,CHAR(160),""))="Devis 1",IFERROR(VALUE(TRIM(SUBSTITUTE(L98,CHAR(160),""))),0),TRIM(SUBSTITUTE(Y98,CHAR(160),""))="Devis 2",IFERROR(VALUE(TRIM(SUBSTITUTE(Q98,CHAR(160),""))),0),TRIM(SUBSTITUTE(Y98,CHAR(160),""))="Devis 3",IFERROR(VALUE(TRIM(SUBSTITUTE(V98,CHAR(160),""))),0),TRUE,0)*IFERROR(VALUE(TRIM(SUBSTITUTE(C98,CHAR(160),""))),0))</f>
        <v/>
      </c>
      <c r="AA98" s="275" t="str" cm="1">
        <f t="array" ref="AA98">IF((_xlfn.IFS(TRIM(SUBSTITUTE(Y98,CHAR(160),""))="Devis 1",IFERROR(VALUE(TRIM(SUBSTITUTE(M98,CHAR(160),""))),0),TRIM(SUBSTITUTE(Y98,CHAR(160),""))="Devis 2",IFERROR(VALUE(TRIM(SUBSTITUTE(R98,CHAR(160),""))),0),TRIM(SUBSTITUTE(Y98,CHAR(160),""))="Devis 3",IFERROR(VALUE(TRIM(SUBSTITUTE(W98,CHAR(160),""))),0),TRUE,0)*IFERROR(VALUE(TRIM(SUBSTITUTE(C98,CHAR(160),""))),0))=0,IF(Z98&lt;&gt;"",0,""),_xlfn.IFS(TRIM(SUBSTITUTE(Y98,CHAR(160),""))="Devis 1",IFERROR(VALUE(TRIM(SUBSTITUTE(M98,CHAR(160),""))),0),TRIM(SUBSTITUTE(Y98,CHAR(160),""))="Devis 2",IFERROR(VALUE(TRIM(SUBSTITUTE(R98,CHAR(160),""))),0),TRIM(SUBSTITUTE(Y98,CHAR(160),""))="Devis 3",IFERROR(VALUE(TRIM(SUBSTITUTE(W98,CHAR(160),""))),0),TRUE,0)*IFERROR(VALUE(TRIM(SUBSTITUTE(C98,CHAR(160),""))),0))</f>
        <v/>
      </c>
      <c r="AB98" s="285" t="str">
        <f t="shared" si="64"/>
        <v/>
      </c>
      <c r="AC98" s="209"/>
      <c r="AD98" s="747" t="str">
        <f t="shared" si="56"/>
        <v/>
      </c>
      <c r="AE98" s="747" t="str">
        <f t="shared" si="57"/>
        <v/>
      </c>
      <c r="AF98" s="747" t="str">
        <f t="shared" si="58"/>
        <v/>
      </c>
      <c r="AG98" s="747" t="str">
        <f t="shared" si="59"/>
        <v/>
      </c>
      <c r="AH98" s="747" t="str">
        <f t="shared" si="60"/>
        <v/>
      </c>
      <c r="AI98" s="747" t="str">
        <f t="shared" si="65"/>
        <v/>
      </c>
      <c r="AJ98" s="747" t="str">
        <f t="shared" si="66"/>
        <v/>
      </c>
      <c r="AK98" s="776" t="str">
        <f t="shared" si="67"/>
        <v/>
      </c>
      <c r="AL98" s="802" t="str">
        <f t="shared" si="68"/>
        <v/>
      </c>
      <c r="AM98" s="747" t="str">
        <f t="shared" si="69"/>
        <v/>
      </c>
      <c r="AN98" s="771" t="str">
        <f t="shared" si="70"/>
        <v/>
      </c>
      <c r="AO98" s="771" t="str">
        <f t="shared" si="71"/>
        <v/>
      </c>
      <c r="AP98" s="808" t="str">
        <f t="shared" si="72"/>
        <v/>
      </c>
      <c r="AQ98" s="819" t="str">
        <f t="shared" si="73"/>
        <v/>
      </c>
      <c r="AR98" s="771" t="str">
        <f t="shared" si="74"/>
        <v/>
      </c>
      <c r="AS98" s="771" t="str">
        <f t="shared" si="75"/>
        <v/>
      </c>
      <c r="AT98" s="771" t="str">
        <f t="shared" si="76"/>
        <v/>
      </c>
      <c r="AU98" s="808" t="str">
        <f t="shared" si="77"/>
        <v/>
      </c>
      <c r="AV98" s="842" t="str">
        <f t="shared" si="78"/>
        <v/>
      </c>
      <c r="AW98" s="771" t="str">
        <f t="shared" si="79"/>
        <v/>
      </c>
      <c r="AX98" s="771" t="str">
        <f t="shared" si="80"/>
        <v/>
      </c>
      <c r="AY98" s="771" t="str">
        <f t="shared" si="81"/>
        <v/>
      </c>
      <c r="AZ98" s="831" t="str">
        <f t="shared" si="82"/>
        <v/>
      </c>
      <c r="BA98" s="835" t="str">
        <f t="shared" si="83"/>
        <v/>
      </c>
      <c r="BB98" s="772"/>
      <c r="BC98" s="275" t="str">
        <f t="shared" si="84"/>
        <v/>
      </c>
      <c r="BD98" s="275" t="str">
        <f t="shared" si="85"/>
        <v/>
      </c>
      <c r="BE98" s="886" t="str">
        <f t="shared" si="86"/>
        <v/>
      </c>
      <c r="BF98" s="873" t="str" cm="1">
        <f t="array" ref="BF98">IF($AE98="","",
_xlfn.IFS(
$BA98="Devis 1",
IF(ISBLANK(AN98),"",IFERROR(VALUE(TRIM(SUBSTITUTE(AN98,CHAR(160),""))),0)*IFERROR(VALUE(TRIM(SUBSTITUTE($AE98,CHAR(160),""))),0)),
$BA98="Devis 2",
IF(ISBLANK(AS98),"",IFERROR(VALUE(TRIM(SUBSTITUTE(AS98,CHAR(160),""))),0)*IFERROR(VALUE(TRIM(SUBSTITUTE($AE98,CHAR(160),""))),0)),
$BA98="Devis 3",
IF(ISBLANK(AX98),"",IFERROR(VALUE(TRIM(SUBSTITUTE(AX98,CHAR(160),""))),0)*IFERROR(VALUE(TRIM(SUBSTITUTE($AE98,CHAR(160),""))),0)),
TRUE,0
)
)</f>
        <v/>
      </c>
      <c r="BG98" s="873" t="str" cm="1">
        <f t="array" ref="BG98">IF($AE98="","",
_xlfn.IFS(
$BA98="Devis 1",
IF(ISBLANK(AO98),"",IFERROR(VALUE(TRIM(SUBSTITUTE(AO98,CHAR(160),""))),0)*IFERROR(VALUE(TRIM(SUBSTITUTE($AE98,CHAR(160),""))),0)),
$BA98="Devis 2",
IF(ISBLANK(AT98),"",IFERROR(VALUE(TRIM(SUBSTITUTE(AT98,CHAR(160),""))),0)*IFERROR(VALUE(TRIM(SUBSTITUTE($AE98,CHAR(160),""))),0)),
$BA98="Devis 3",
IF(ISBLANK(AY98),"",IFERROR(VALUE(TRIM(SUBSTITUTE(AY98,CHAR(160),""))),0)*IFERROR(VALUE(TRIM(SUBSTITUTE($AE98,CHAR(160),""))),0)),
TRUE,0
)
)</f>
        <v/>
      </c>
      <c r="BH98" s="874" t="str">
        <f t="shared" si="87"/>
        <v/>
      </c>
      <c r="BI98" s="866"/>
      <c r="BJ98" s="774" t="str" cm="1">
        <f t="array" ref="BJ98">IF(OR(BH98="",BE98="",BF98="",BC98="",BG98="",BD98=""),"",_xlfn.IFS(
ROUND(IFERROR(VALUE(TRIM(SUBSTITUTE(BH98,CHAR(160),""))),0),2)&gt;
ROUND(IFERROR(VALUE(TRIM(SUBSTITUTE(BE98,CHAR(160),""))),0),2),
"KO : Le montant retenu TTC est supérieur au montant raisonnable TTC. Merci de revoir la ligne de dépense ou plafonner son montant.",
ROUND(IFERROR(VALUE(TRIM(SUBSTITUTE(BF98,CHAR(160),""))),0),2)&gt;
ROUND(IFERROR(VALUE(TRIM(SUBSTITUTE(BC98,CHAR(160),""))),0),2),
"Attention : Le montant retenu HT est supérieur au montant HT raisonnable. Merci de revoir la ligne de dépense, plafonner son montant, ou justifier la reventillation HT / TVA.",
ROUND(IFERROR(VALUE(TRIM(SUBSTITUTE(BG98,CHAR(160),""))),0),2)&gt;
ROUND(IFERROR(VALUE(TRIM(SUBSTITUTE(BD98,CHAR(160),""))),0),2),
"Attention : Le montant TVA retenu est supérieur au montant TVA raisonnable. Merci de revoir la ligne de dépense, plafonner son montant, ou justifier la reventillation HT / TVA.",
ROUND(IFERROR(VALUE(TRIM(SUBSTITUTE(BH98,CHAR(160),""))),0),2)&gt;
ROUND(IFERROR(VALUE(TRIM(SUBSTITUTE(MIN(N98,S98,X98),CHAR(160),""))),0),2),
"Attention : Le devis retenu n'est pas le moins cher. Une justification de la part du porteur est nécessaire.",
ROUND(IFERROR(VALUE(TRIM(SUBSTITUTE(BH98,CHAR(160),""))),0),2)=0,
"Attention : montant présenté entièrement écarté",
ROUND(IFERROR(VALUE(TRIM(SUBSTITUTE(BE98,CHAR(160),""))),0),2)=
ROUND(IFERROR(VALUE(TRIM(SUBSTITUTE(BH98,CHAR(160),""))),0),2),
"OK",
ROUND(IFERROR(VALUE(TRIM(SUBSTITUTE(BE98,CHAR(160),""))),0),2)&gt;
ROUND(IFERROR(VALUE(TRIM(SUBSTITUTE(BH98,CHAR(160),""))),0),2),
" OK : Montant instruit inférieur au montant raisonnable.",
TRUE,""
))</f>
        <v/>
      </c>
      <c r="BK98" s="774" t="str" cm="1">
        <f t="array" ref="BK98">IF(OR(BH98="",AB98="",BF98="",Z98="",BG98="",AA98=""),"",_xlfn.IFS(
ROUND(IFERROR(VALUE(TRIM(SUBSTITUTE(BH98,CHAR(160),""))),0),2)&gt;
ROUND(IFERROR(VALUE(TRIM(SUBSTITUTE(AB98,CHAR(160),""))),0),2),
"KO : Le montant retenu TTC est supérieur au montant présenté TTC. Merci de revoir la ligne de dépense ou plafonner son montant.",
ROUND(IFERROR(VALUE(TRIM(SUBSTITUTE(BF98,CHAR(160),""))),0),2)&gt;
ROUND(IFERROR(VALUE(TRIM(SUBSTITUTE(Z98,CHAR(160),""))),0),2),
"Attention : Le montant retenu HT est supérieur au montant HT présenté. Merci de revoir la ligne de dépense, plafonner son montant, ou justifier la reventillation HT / TVA.",
ROUND(IFERROR(VALUE(TRIM(SUBSTITUTE(BG98,CHAR(160),""))),0),2)&gt;
ROUND(IFERROR(VALUE(TRIM(SUBSTITUTE(AA98,CHAR(160),""))),0),2),
"Attention : Le montant TVA retenu est supérieur au montant TVA présenté. Merci de revoir la ligne de dépense, plafonner son montant, ou justifier la reventillation HT / TVA.",
ROUND(IFERROR(VALUE(TRIM(SUBSTITUTE(AB98,CHAR(160),""))),0),2)=0,
"",
ROUND(IFERROR(VALUE(TRIM(SUBSTITUTE(BH98,CHAR(160),""))),0),2)=
ROUND(IFERROR(VALUE(TRIM(SUBSTITUTE(AB98,CHAR(160),""))),0),2),
"OK",
ROUND(IFERROR(VALUE(TRIM(SUBSTITUTE(BH98,CHAR(160),""))),0),2)=0,
"Attention : Montant présenté entièrement rejeté.",
ROUND(IFERROR(VALUE(TRIM(SUBSTITUTE(BH98,CHAR(160),""))),0),2)&lt;
ROUND(IFERROR(VALUE(TRIM(SUBSTITUTE(AB98,CHAR(160),""))),0),2),
"Attention : Montant présenté partiellement rejeté.",
TRUE,""
))</f>
        <v/>
      </c>
      <c r="BL98" s="773" t="str">
        <f t="shared" si="88"/>
        <v/>
      </c>
      <c r="BM98" s="773" t="str">
        <f t="shared" si="89"/>
        <v/>
      </c>
      <c r="BN98" s="773" t="str">
        <f t="shared" si="90"/>
        <v/>
      </c>
    </row>
    <row r="99" spans="1:66" ht="15" customHeight="1">
      <c r="A99" s="193">
        <v>95</v>
      </c>
      <c r="B99" s="7"/>
      <c r="C99" s="9"/>
      <c r="D99" s="30"/>
      <c r="E99" s="36"/>
      <c r="F99" s="34"/>
      <c r="G99" s="35"/>
      <c r="H99" s="685"/>
      <c r="I99" s="786"/>
      <c r="J99" s="792"/>
      <c r="K99" s="758"/>
      <c r="L99" s="761"/>
      <c r="M99" s="762"/>
      <c r="N99" s="808" t="str">
        <f t="shared" si="61"/>
        <v/>
      </c>
      <c r="O99" s="846"/>
      <c r="P99" s="847"/>
      <c r="Q99" s="762"/>
      <c r="R99" s="762"/>
      <c r="S99" s="808" t="str">
        <f t="shared" si="62"/>
        <v/>
      </c>
      <c r="T99" s="850"/>
      <c r="U99" s="847"/>
      <c r="V99" s="762"/>
      <c r="W99" s="762"/>
      <c r="X99" s="830" t="str">
        <f t="shared" si="63"/>
        <v/>
      </c>
      <c r="Y99" s="246"/>
      <c r="Z99" s="284" t="str" cm="1">
        <f t="array" ref="Z99">IF((_xlfn.IFS(TRIM(SUBSTITUTE(Y99,CHAR(160),""))="Devis 1",IFERROR(VALUE(TRIM(SUBSTITUTE(L99,CHAR(160),""))),0),TRIM(SUBSTITUTE(Y99,CHAR(160),""))="Devis 2",IFERROR(VALUE(TRIM(SUBSTITUTE(Q99,CHAR(160),""))),0),TRIM(SUBSTITUTE(Y99,CHAR(160),""))="Devis 3",IFERROR(VALUE(TRIM(SUBSTITUTE(V99,CHAR(160),""))),0),TRUE,0)*IFERROR(VALUE(TRIM(SUBSTITUTE(C99,CHAR(160),""))),0))=0,"",_xlfn.IFS(TRIM(SUBSTITUTE(Y99,CHAR(160),""))="Devis 1",IFERROR(VALUE(TRIM(SUBSTITUTE(L99,CHAR(160),""))),0),TRIM(SUBSTITUTE(Y99,CHAR(160),""))="Devis 2",IFERROR(VALUE(TRIM(SUBSTITUTE(Q99,CHAR(160),""))),0),TRIM(SUBSTITUTE(Y99,CHAR(160),""))="Devis 3",IFERROR(VALUE(TRIM(SUBSTITUTE(V99,CHAR(160),""))),0),TRUE,0)*IFERROR(VALUE(TRIM(SUBSTITUTE(C99,CHAR(160),""))),0))</f>
        <v/>
      </c>
      <c r="AA99" s="275" t="str" cm="1">
        <f t="array" ref="AA99">IF((_xlfn.IFS(TRIM(SUBSTITUTE(Y99,CHAR(160),""))="Devis 1",IFERROR(VALUE(TRIM(SUBSTITUTE(M99,CHAR(160),""))),0),TRIM(SUBSTITUTE(Y99,CHAR(160),""))="Devis 2",IFERROR(VALUE(TRIM(SUBSTITUTE(R99,CHAR(160),""))),0),TRIM(SUBSTITUTE(Y99,CHAR(160),""))="Devis 3",IFERROR(VALUE(TRIM(SUBSTITUTE(W99,CHAR(160),""))),0),TRUE,0)*IFERROR(VALUE(TRIM(SUBSTITUTE(C99,CHAR(160),""))),0))=0,IF(Z99&lt;&gt;"",0,""),_xlfn.IFS(TRIM(SUBSTITUTE(Y99,CHAR(160),""))="Devis 1",IFERROR(VALUE(TRIM(SUBSTITUTE(M99,CHAR(160),""))),0),TRIM(SUBSTITUTE(Y99,CHAR(160),""))="Devis 2",IFERROR(VALUE(TRIM(SUBSTITUTE(R99,CHAR(160),""))),0),TRIM(SUBSTITUTE(Y99,CHAR(160),""))="Devis 3",IFERROR(VALUE(TRIM(SUBSTITUTE(W99,CHAR(160),""))),0),TRUE,0)*IFERROR(VALUE(TRIM(SUBSTITUTE(C99,CHAR(160),""))),0))</f>
        <v/>
      </c>
      <c r="AB99" s="285" t="str">
        <f t="shared" si="64"/>
        <v/>
      </c>
      <c r="AC99" s="209"/>
      <c r="AD99" s="747" t="str">
        <f t="shared" si="56"/>
        <v/>
      </c>
      <c r="AE99" s="747" t="str">
        <f t="shared" si="57"/>
        <v/>
      </c>
      <c r="AF99" s="747" t="str">
        <f t="shared" si="58"/>
        <v/>
      </c>
      <c r="AG99" s="747" t="str">
        <f t="shared" si="59"/>
        <v/>
      </c>
      <c r="AH99" s="747" t="str">
        <f t="shared" si="60"/>
        <v/>
      </c>
      <c r="AI99" s="747" t="str">
        <f t="shared" si="65"/>
        <v/>
      </c>
      <c r="AJ99" s="747" t="str">
        <f t="shared" si="66"/>
        <v/>
      </c>
      <c r="AK99" s="776" t="str">
        <f t="shared" si="67"/>
        <v/>
      </c>
      <c r="AL99" s="802" t="str">
        <f t="shared" si="68"/>
        <v/>
      </c>
      <c r="AM99" s="747" t="str">
        <f t="shared" si="69"/>
        <v/>
      </c>
      <c r="AN99" s="771" t="str">
        <f t="shared" si="70"/>
        <v/>
      </c>
      <c r="AO99" s="771" t="str">
        <f t="shared" si="71"/>
        <v/>
      </c>
      <c r="AP99" s="808" t="str">
        <f t="shared" si="72"/>
        <v/>
      </c>
      <c r="AQ99" s="819" t="str">
        <f t="shared" si="73"/>
        <v/>
      </c>
      <c r="AR99" s="771" t="str">
        <f t="shared" si="74"/>
        <v/>
      </c>
      <c r="AS99" s="771" t="str">
        <f t="shared" si="75"/>
        <v/>
      </c>
      <c r="AT99" s="771" t="str">
        <f t="shared" si="76"/>
        <v/>
      </c>
      <c r="AU99" s="808" t="str">
        <f t="shared" si="77"/>
        <v/>
      </c>
      <c r="AV99" s="842" t="str">
        <f t="shared" si="78"/>
        <v/>
      </c>
      <c r="AW99" s="771" t="str">
        <f t="shared" si="79"/>
        <v/>
      </c>
      <c r="AX99" s="771" t="str">
        <f t="shared" si="80"/>
        <v/>
      </c>
      <c r="AY99" s="771" t="str">
        <f t="shared" si="81"/>
        <v/>
      </c>
      <c r="AZ99" s="831" t="str">
        <f t="shared" si="82"/>
        <v/>
      </c>
      <c r="BA99" s="835" t="str">
        <f t="shared" si="83"/>
        <v/>
      </c>
      <c r="BB99" s="772"/>
      <c r="BC99" s="275" t="str">
        <f t="shared" si="84"/>
        <v/>
      </c>
      <c r="BD99" s="275" t="str">
        <f t="shared" si="85"/>
        <v/>
      </c>
      <c r="BE99" s="886" t="str">
        <f t="shared" si="86"/>
        <v/>
      </c>
      <c r="BF99" s="873" t="str" cm="1">
        <f t="array" ref="BF99">IF($AE99="","",
_xlfn.IFS(
$BA99="Devis 1",
IF(ISBLANK(AN99),"",IFERROR(VALUE(TRIM(SUBSTITUTE(AN99,CHAR(160),""))),0)*IFERROR(VALUE(TRIM(SUBSTITUTE($AE99,CHAR(160),""))),0)),
$BA99="Devis 2",
IF(ISBLANK(AS99),"",IFERROR(VALUE(TRIM(SUBSTITUTE(AS99,CHAR(160),""))),0)*IFERROR(VALUE(TRIM(SUBSTITUTE($AE99,CHAR(160),""))),0)),
$BA99="Devis 3",
IF(ISBLANK(AX99),"",IFERROR(VALUE(TRIM(SUBSTITUTE(AX99,CHAR(160),""))),0)*IFERROR(VALUE(TRIM(SUBSTITUTE($AE99,CHAR(160),""))),0)),
TRUE,0
)
)</f>
        <v/>
      </c>
      <c r="BG99" s="873" t="str" cm="1">
        <f t="array" ref="BG99">IF($AE99="","",
_xlfn.IFS(
$BA99="Devis 1",
IF(ISBLANK(AO99),"",IFERROR(VALUE(TRIM(SUBSTITUTE(AO99,CHAR(160),""))),0)*IFERROR(VALUE(TRIM(SUBSTITUTE($AE99,CHAR(160),""))),0)),
$BA99="Devis 2",
IF(ISBLANK(AT99),"",IFERROR(VALUE(TRIM(SUBSTITUTE(AT99,CHAR(160),""))),0)*IFERROR(VALUE(TRIM(SUBSTITUTE($AE99,CHAR(160),""))),0)),
$BA99="Devis 3",
IF(ISBLANK(AY99),"",IFERROR(VALUE(TRIM(SUBSTITUTE(AY99,CHAR(160),""))),0)*IFERROR(VALUE(TRIM(SUBSTITUTE($AE99,CHAR(160),""))),0)),
TRUE,0
)
)</f>
        <v/>
      </c>
      <c r="BH99" s="874" t="str">
        <f t="shared" si="87"/>
        <v/>
      </c>
      <c r="BI99" s="866"/>
      <c r="BJ99" s="774" t="str" cm="1">
        <f t="array" ref="BJ99">IF(OR(BH99="",BE99="",BF99="",BC99="",BG99="",BD99=""),"",_xlfn.IFS(
ROUND(IFERROR(VALUE(TRIM(SUBSTITUTE(BH99,CHAR(160),""))),0),2)&gt;
ROUND(IFERROR(VALUE(TRIM(SUBSTITUTE(BE99,CHAR(160),""))),0),2),
"KO : Le montant retenu TTC est supérieur au montant raisonnable TTC. Merci de revoir la ligne de dépense ou plafonner son montant.",
ROUND(IFERROR(VALUE(TRIM(SUBSTITUTE(BF99,CHAR(160),""))),0),2)&gt;
ROUND(IFERROR(VALUE(TRIM(SUBSTITUTE(BC99,CHAR(160),""))),0),2),
"Attention : Le montant retenu HT est supérieur au montant HT raisonnable. Merci de revoir la ligne de dépense, plafonner son montant, ou justifier la reventillation HT / TVA.",
ROUND(IFERROR(VALUE(TRIM(SUBSTITUTE(BG99,CHAR(160),""))),0),2)&gt;
ROUND(IFERROR(VALUE(TRIM(SUBSTITUTE(BD99,CHAR(160),""))),0),2),
"Attention : Le montant TVA retenu est supérieur au montant TVA raisonnable. Merci de revoir la ligne de dépense, plafonner son montant, ou justifier la reventillation HT / TVA.",
ROUND(IFERROR(VALUE(TRIM(SUBSTITUTE(BH99,CHAR(160),""))),0),2)&gt;
ROUND(IFERROR(VALUE(TRIM(SUBSTITUTE(MIN(N99,S99,X99),CHAR(160),""))),0),2),
"Attention : Le devis retenu n'est pas le moins cher. Une justification de la part du porteur est nécessaire.",
ROUND(IFERROR(VALUE(TRIM(SUBSTITUTE(BH99,CHAR(160),""))),0),2)=0,
"Attention : montant présenté entièrement écarté",
ROUND(IFERROR(VALUE(TRIM(SUBSTITUTE(BE99,CHAR(160),""))),0),2)=
ROUND(IFERROR(VALUE(TRIM(SUBSTITUTE(BH99,CHAR(160),""))),0),2),
"OK",
ROUND(IFERROR(VALUE(TRIM(SUBSTITUTE(BE99,CHAR(160),""))),0),2)&gt;
ROUND(IFERROR(VALUE(TRIM(SUBSTITUTE(BH99,CHAR(160),""))),0),2),
" OK : Montant instruit inférieur au montant raisonnable.",
TRUE,""
))</f>
        <v/>
      </c>
      <c r="BK99" s="774" t="str" cm="1">
        <f t="array" ref="BK99">IF(OR(BH99="",AB99="",BF99="",Z99="",BG99="",AA99=""),"",_xlfn.IFS(
ROUND(IFERROR(VALUE(TRIM(SUBSTITUTE(BH99,CHAR(160),""))),0),2)&gt;
ROUND(IFERROR(VALUE(TRIM(SUBSTITUTE(AB99,CHAR(160),""))),0),2),
"KO : Le montant retenu TTC est supérieur au montant présenté TTC. Merci de revoir la ligne de dépense ou plafonner son montant.",
ROUND(IFERROR(VALUE(TRIM(SUBSTITUTE(BF99,CHAR(160),""))),0),2)&gt;
ROUND(IFERROR(VALUE(TRIM(SUBSTITUTE(Z99,CHAR(160),""))),0),2),
"Attention : Le montant retenu HT est supérieur au montant HT présenté. Merci de revoir la ligne de dépense, plafonner son montant, ou justifier la reventillation HT / TVA.",
ROUND(IFERROR(VALUE(TRIM(SUBSTITUTE(BG99,CHAR(160),""))),0),2)&gt;
ROUND(IFERROR(VALUE(TRIM(SUBSTITUTE(AA99,CHAR(160),""))),0),2),
"Attention : Le montant TVA retenu est supérieur au montant TVA présenté. Merci de revoir la ligne de dépense, plafonner son montant, ou justifier la reventillation HT / TVA.",
ROUND(IFERROR(VALUE(TRIM(SUBSTITUTE(AB99,CHAR(160),""))),0),2)=0,
"",
ROUND(IFERROR(VALUE(TRIM(SUBSTITUTE(BH99,CHAR(160),""))),0),2)=
ROUND(IFERROR(VALUE(TRIM(SUBSTITUTE(AB99,CHAR(160),""))),0),2),
"OK",
ROUND(IFERROR(VALUE(TRIM(SUBSTITUTE(BH99,CHAR(160),""))),0),2)=0,
"Attention : Montant présenté entièrement rejeté.",
ROUND(IFERROR(VALUE(TRIM(SUBSTITUTE(BH99,CHAR(160),""))),0),2)&lt;
ROUND(IFERROR(VALUE(TRIM(SUBSTITUTE(AB99,CHAR(160),""))),0),2),
"Attention : Montant présenté partiellement rejeté.",
TRUE,""
))</f>
        <v/>
      </c>
      <c r="BL99" s="773" t="str">
        <f t="shared" si="88"/>
        <v/>
      </c>
      <c r="BM99" s="773" t="str">
        <f t="shared" si="89"/>
        <v/>
      </c>
      <c r="BN99" s="773" t="str">
        <f t="shared" si="90"/>
        <v/>
      </c>
    </row>
    <row r="100" spans="1:66" ht="15" customHeight="1">
      <c r="A100" s="193">
        <v>96</v>
      </c>
      <c r="B100" s="7"/>
      <c r="C100" s="9"/>
      <c r="D100" s="30"/>
      <c r="E100" s="36"/>
      <c r="F100" s="34"/>
      <c r="G100" s="35"/>
      <c r="H100" s="685"/>
      <c r="I100" s="786"/>
      <c r="J100" s="792"/>
      <c r="K100" s="758"/>
      <c r="L100" s="761"/>
      <c r="M100" s="762"/>
      <c r="N100" s="808" t="str">
        <f t="shared" si="61"/>
        <v/>
      </c>
      <c r="O100" s="846"/>
      <c r="P100" s="847"/>
      <c r="Q100" s="762"/>
      <c r="R100" s="762"/>
      <c r="S100" s="808" t="str">
        <f t="shared" si="62"/>
        <v/>
      </c>
      <c r="T100" s="850"/>
      <c r="U100" s="847"/>
      <c r="V100" s="762"/>
      <c r="W100" s="762"/>
      <c r="X100" s="830" t="str">
        <f t="shared" si="63"/>
        <v/>
      </c>
      <c r="Y100" s="246"/>
      <c r="Z100" s="284" t="str" cm="1">
        <f t="array" ref="Z100">IF((_xlfn.IFS(TRIM(SUBSTITUTE(Y100,CHAR(160),""))="Devis 1",IFERROR(VALUE(TRIM(SUBSTITUTE(L100,CHAR(160),""))),0),TRIM(SUBSTITUTE(Y100,CHAR(160),""))="Devis 2",IFERROR(VALUE(TRIM(SUBSTITUTE(Q100,CHAR(160),""))),0),TRIM(SUBSTITUTE(Y100,CHAR(160),""))="Devis 3",IFERROR(VALUE(TRIM(SUBSTITUTE(V100,CHAR(160),""))),0),TRUE,0)*IFERROR(VALUE(TRIM(SUBSTITUTE(C100,CHAR(160),""))),0))=0,"",_xlfn.IFS(TRIM(SUBSTITUTE(Y100,CHAR(160),""))="Devis 1",IFERROR(VALUE(TRIM(SUBSTITUTE(L100,CHAR(160),""))),0),TRIM(SUBSTITUTE(Y100,CHAR(160),""))="Devis 2",IFERROR(VALUE(TRIM(SUBSTITUTE(Q100,CHAR(160),""))),0),TRIM(SUBSTITUTE(Y100,CHAR(160),""))="Devis 3",IFERROR(VALUE(TRIM(SUBSTITUTE(V100,CHAR(160),""))),0),TRUE,0)*IFERROR(VALUE(TRIM(SUBSTITUTE(C100,CHAR(160),""))),0))</f>
        <v/>
      </c>
      <c r="AA100" s="275" t="str" cm="1">
        <f t="array" ref="AA100">IF((_xlfn.IFS(TRIM(SUBSTITUTE(Y100,CHAR(160),""))="Devis 1",IFERROR(VALUE(TRIM(SUBSTITUTE(M100,CHAR(160),""))),0),TRIM(SUBSTITUTE(Y100,CHAR(160),""))="Devis 2",IFERROR(VALUE(TRIM(SUBSTITUTE(R100,CHAR(160),""))),0),TRIM(SUBSTITUTE(Y100,CHAR(160),""))="Devis 3",IFERROR(VALUE(TRIM(SUBSTITUTE(W100,CHAR(160),""))),0),TRUE,0)*IFERROR(VALUE(TRIM(SUBSTITUTE(C100,CHAR(160),""))),0))=0,IF(Z100&lt;&gt;"",0,""),_xlfn.IFS(TRIM(SUBSTITUTE(Y100,CHAR(160),""))="Devis 1",IFERROR(VALUE(TRIM(SUBSTITUTE(M100,CHAR(160),""))),0),TRIM(SUBSTITUTE(Y100,CHAR(160),""))="Devis 2",IFERROR(VALUE(TRIM(SUBSTITUTE(R100,CHAR(160),""))),0),TRIM(SUBSTITUTE(Y100,CHAR(160),""))="Devis 3",IFERROR(VALUE(TRIM(SUBSTITUTE(W100,CHAR(160),""))),0),TRUE,0)*IFERROR(VALUE(TRIM(SUBSTITUTE(C100,CHAR(160),""))),0))</f>
        <v/>
      </c>
      <c r="AB100" s="285" t="str">
        <f t="shared" si="64"/>
        <v/>
      </c>
      <c r="AC100" s="209"/>
      <c r="AD100" s="747" t="str">
        <f t="shared" si="56"/>
        <v/>
      </c>
      <c r="AE100" s="747" t="str">
        <f t="shared" si="57"/>
        <v/>
      </c>
      <c r="AF100" s="747" t="str">
        <f t="shared" si="58"/>
        <v/>
      </c>
      <c r="AG100" s="747" t="str">
        <f t="shared" si="59"/>
        <v/>
      </c>
      <c r="AH100" s="747" t="str">
        <f t="shared" si="60"/>
        <v/>
      </c>
      <c r="AI100" s="747" t="str">
        <f t="shared" si="65"/>
        <v/>
      </c>
      <c r="AJ100" s="747" t="str">
        <f t="shared" si="66"/>
        <v/>
      </c>
      <c r="AK100" s="776" t="str">
        <f t="shared" si="67"/>
        <v/>
      </c>
      <c r="AL100" s="802" t="str">
        <f t="shared" si="68"/>
        <v/>
      </c>
      <c r="AM100" s="747" t="str">
        <f t="shared" si="69"/>
        <v/>
      </c>
      <c r="AN100" s="771" t="str">
        <f t="shared" si="70"/>
        <v/>
      </c>
      <c r="AO100" s="771" t="str">
        <f t="shared" si="71"/>
        <v/>
      </c>
      <c r="AP100" s="808" t="str">
        <f t="shared" si="72"/>
        <v/>
      </c>
      <c r="AQ100" s="819" t="str">
        <f t="shared" si="73"/>
        <v/>
      </c>
      <c r="AR100" s="771" t="str">
        <f t="shared" si="74"/>
        <v/>
      </c>
      <c r="AS100" s="771" t="str">
        <f t="shared" si="75"/>
        <v/>
      </c>
      <c r="AT100" s="771" t="str">
        <f t="shared" si="76"/>
        <v/>
      </c>
      <c r="AU100" s="808" t="str">
        <f t="shared" si="77"/>
        <v/>
      </c>
      <c r="AV100" s="842" t="str">
        <f t="shared" si="78"/>
        <v/>
      </c>
      <c r="AW100" s="771" t="str">
        <f t="shared" si="79"/>
        <v/>
      </c>
      <c r="AX100" s="771" t="str">
        <f t="shared" si="80"/>
        <v/>
      </c>
      <c r="AY100" s="771" t="str">
        <f t="shared" si="81"/>
        <v/>
      </c>
      <c r="AZ100" s="831" t="str">
        <f t="shared" si="82"/>
        <v/>
      </c>
      <c r="BA100" s="835" t="str">
        <f t="shared" si="83"/>
        <v/>
      </c>
      <c r="BB100" s="772"/>
      <c r="BC100" s="275" t="str">
        <f t="shared" si="84"/>
        <v/>
      </c>
      <c r="BD100" s="275" t="str">
        <f t="shared" si="85"/>
        <v/>
      </c>
      <c r="BE100" s="886" t="str">
        <f t="shared" si="86"/>
        <v/>
      </c>
      <c r="BF100" s="873" t="str" cm="1">
        <f t="array" ref="BF100">IF($AE100="","",
_xlfn.IFS(
$BA100="Devis 1",
IF(ISBLANK(AN100),"",IFERROR(VALUE(TRIM(SUBSTITUTE(AN100,CHAR(160),""))),0)*IFERROR(VALUE(TRIM(SUBSTITUTE($AE100,CHAR(160),""))),0)),
$BA100="Devis 2",
IF(ISBLANK(AS100),"",IFERROR(VALUE(TRIM(SUBSTITUTE(AS100,CHAR(160),""))),0)*IFERROR(VALUE(TRIM(SUBSTITUTE($AE100,CHAR(160),""))),0)),
$BA100="Devis 3",
IF(ISBLANK(AX100),"",IFERROR(VALUE(TRIM(SUBSTITUTE(AX100,CHAR(160),""))),0)*IFERROR(VALUE(TRIM(SUBSTITUTE($AE100,CHAR(160),""))),0)),
TRUE,0
)
)</f>
        <v/>
      </c>
      <c r="BG100" s="873" t="str" cm="1">
        <f t="array" ref="BG100">IF($AE100="","",
_xlfn.IFS(
$BA100="Devis 1",
IF(ISBLANK(AO100),"",IFERROR(VALUE(TRIM(SUBSTITUTE(AO100,CHAR(160),""))),0)*IFERROR(VALUE(TRIM(SUBSTITUTE($AE100,CHAR(160),""))),0)),
$BA100="Devis 2",
IF(ISBLANK(AT100),"",IFERROR(VALUE(TRIM(SUBSTITUTE(AT100,CHAR(160),""))),0)*IFERROR(VALUE(TRIM(SUBSTITUTE($AE100,CHAR(160),""))),0)),
$BA100="Devis 3",
IF(ISBLANK(AY100),"",IFERROR(VALUE(TRIM(SUBSTITUTE(AY100,CHAR(160),""))),0)*IFERROR(VALUE(TRIM(SUBSTITUTE($AE100,CHAR(160),""))),0)),
TRUE,0
)
)</f>
        <v/>
      </c>
      <c r="BH100" s="874" t="str">
        <f t="shared" si="87"/>
        <v/>
      </c>
      <c r="BI100" s="866"/>
      <c r="BJ100" s="774" t="str" cm="1">
        <f t="array" ref="BJ100">IF(OR(BH100="",BE100="",BF100="",BC100="",BG100="",BD100=""),"",_xlfn.IFS(
ROUND(IFERROR(VALUE(TRIM(SUBSTITUTE(BH100,CHAR(160),""))),0),2)&gt;
ROUND(IFERROR(VALUE(TRIM(SUBSTITUTE(BE100,CHAR(160),""))),0),2),
"KO : Le montant retenu TTC est supérieur au montant raisonnable TTC. Merci de revoir la ligne de dépense ou plafonner son montant.",
ROUND(IFERROR(VALUE(TRIM(SUBSTITUTE(BF100,CHAR(160),""))),0),2)&gt;
ROUND(IFERROR(VALUE(TRIM(SUBSTITUTE(BC100,CHAR(160),""))),0),2),
"Attention : Le montant retenu HT est supérieur au montant HT raisonnable. Merci de revoir la ligne de dépense, plafonner son montant, ou justifier la reventillation HT / TVA.",
ROUND(IFERROR(VALUE(TRIM(SUBSTITUTE(BG100,CHAR(160),""))),0),2)&gt;
ROUND(IFERROR(VALUE(TRIM(SUBSTITUTE(BD100,CHAR(160),""))),0),2),
"Attention : Le montant TVA retenu est supérieur au montant TVA raisonnable. Merci de revoir la ligne de dépense, plafonner son montant, ou justifier la reventillation HT / TVA.",
ROUND(IFERROR(VALUE(TRIM(SUBSTITUTE(BH100,CHAR(160),""))),0),2)&gt;
ROUND(IFERROR(VALUE(TRIM(SUBSTITUTE(MIN(N100,S100,X100),CHAR(160),""))),0),2),
"Attention : Le devis retenu n'est pas le moins cher. Une justification de la part du porteur est nécessaire.",
ROUND(IFERROR(VALUE(TRIM(SUBSTITUTE(BH100,CHAR(160),""))),0),2)=0,
"Attention : montant présenté entièrement écarté",
ROUND(IFERROR(VALUE(TRIM(SUBSTITUTE(BE100,CHAR(160),""))),0),2)=
ROUND(IFERROR(VALUE(TRIM(SUBSTITUTE(BH100,CHAR(160),""))),0),2),
"OK",
ROUND(IFERROR(VALUE(TRIM(SUBSTITUTE(BE100,CHAR(160),""))),0),2)&gt;
ROUND(IFERROR(VALUE(TRIM(SUBSTITUTE(BH100,CHAR(160),""))),0),2),
" OK : Montant instruit inférieur au montant raisonnable.",
TRUE,""
))</f>
        <v/>
      </c>
      <c r="BK100" s="774" t="str" cm="1">
        <f t="array" ref="BK100">IF(OR(BH100="",AB100="",BF100="",Z100="",BG100="",AA100=""),"",_xlfn.IFS(
ROUND(IFERROR(VALUE(TRIM(SUBSTITUTE(BH100,CHAR(160),""))),0),2)&gt;
ROUND(IFERROR(VALUE(TRIM(SUBSTITUTE(AB100,CHAR(160),""))),0),2),
"KO : Le montant retenu TTC est supérieur au montant présenté TTC. Merci de revoir la ligne de dépense ou plafonner son montant.",
ROUND(IFERROR(VALUE(TRIM(SUBSTITUTE(BF100,CHAR(160),""))),0),2)&gt;
ROUND(IFERROR(VALUE(TRIM(SUBSTITUTE(Z100,CHAR(160),""))),0),2),
"Attention : Le montant retenu HT est supérieur au montant HT présenté. Merci de revoir la ligne de dépense, plafonner son montant, ou justifier la reventillation HT / TVA.",
ROUND(IFERROR(VALUE(TRIM(SUBSTITUTE(BG100,CHAR(160),""))),0),2)&gt;
ROUND(IFERROR(VALUE(TRIM(SUBSTITUTE(AA100,CHAR(160),""))),0),2),
"Attention : Le montant TVA retenu est supérieur au montant TVA présenté. Merci de revoir la ligne de dépense, plafonner son montant, ou justifier la reventillation HT / TVA.",
ROUND(IFERROR(VALUE(TRIM(SUBSTITUTE(AB100,CHAR(160),""))),0),2)=0,
"",
ROUND(IFERROR(VALUE(TRIM(SUBSTITUTE(BH100,CHAR(160),""))),0),2)=
ROUND(IFERROR(VALUE(TRIM(SUBSTITUTE(AB100,CHAR(160),""))),0),2),
"OK",
ROUND(IFERROR(VALUE(TRIM(SUBSTITUTE(BH100,CHAR(160),""))),0),2)=0,
"Attention : Montant présenté entièrement rejeté.",
ROUND(IFERROR(VALUE(TRIM(SUBSTITUTE(BH100,CHAR(160),""))),0),2)&lt;
ROUND(IFERROR(VALUE(TRIM(SUBSTITUTE(AB100,CHAR(160),""))),0),2),
"Attention : Montant présenté partiellement rejeté.",
TRUE,""
))</f>
        <v/>
      </c>
      <c r="BL100" s="773" t="str">
        <f t="shared" si="88"/>
        <v/>
      </c>
      <c r="BM100" s="773" t="str">
        <f t="shared" si="89"/>
        <v/>
      </c>
      <c r="BN100" s="773" t="str">
        <f t="shared" si="90"/>
        <v/>
      </c>
    </row>
    <row r="101" spans="1:66" ht="15" customHeight="1">
      <c r="A101" s="193">
        <v>97</v>
      </c>
      <c r="B101" s="7"/>
      <c r="C101" s="9"/>
      <c r="D101" s="30"/>
      <c r="E101" s="36"/>
      <c r="F101" s="34"/>
      <c r="G101" s="35"/>
      <c r="H101" s="685"/>
      <c r="I101" s="786"/>
      <c r="J101" s="792"/>
      <c r="K101" s="758"/>
      <c r="L101" s="761"/>
      <c r="M101" s="762"/>
      <c r="N101" s="808" t="str">
        <f t="shared" si="61"/>
        <v/>
      </c>
      <c r="O101" s="846"/>
      <c r="P101" s="847"/>
      <c r="Q101" s="762"/>
      <c r="R101" s="762"/>
      <c r="S101" s="808" t="str">
        <f t="shared" si="62"/>
        <v/>
      </c>
      <c r="T101" s="850"/>
      <c r="U101" s="847"/>
      <c r="V101" s="762"/>
      <c r="W101" s="762"/>
      <c r="X101" s="830" t="str">
        <f t="shared" si="63"/>
        <v/>
      </c>
      <c r="Y101" s="246"/>
      <c r="Z101" s="284" t="str" cm="1">
        <f t="array" ref="Z101">IF((_xlfn.IFS(TRIM(SUBSTITUTE(Y101,CHAR(160),""))="Devis 1",IFERROR(VALUE(TRIM(SUBSTITUTE(L101,CHAR(160),""))),0),TRIM(SUBSTITUTE(Y101,CHAR(160),""))="Devis 2",IFERROR(VALUE(TRIM(SUBSTITUTE(Q101,CHAR(160),""))),0),TRIM(SUBSTITUTE(Y101,CHAR(160),""))="Devis 3",IFERROR(VALUE(TRIM(SUBSTITUTE(V101,CHAR(160),""))),0),TRUE,0)*IFERROR(VALUE(TRIM(SUBSTITUTE(C101,CHAR(160),""))),0))=0,"",_xlfn.IFS(TRIM(SUBSTITUTE(Y101,CHAR(160),""))="Devis 1",IFERROR(VALUE(TRIM(SUBSTITUTE(L101,CHAR(160),""))),0),TRIM(SUBSTITUTE(Y101,CHAR(160),""))="Devis 2",IFERROR(VALUE(TRIM(SUBSTITUTE(Q101,CHAR(160),""))),0),TRIM(SUBSTITUTE(Y101,CHAR(160),""))="Devis 3",IFERROR(VALUE(TRIM(SUBSTITUTE(V101,CHAR(160),""))),0),TRUE,0)*IFERROR(VALUE(TRIM(SUBSTITUTE(C101,CHAR(160),""))),0))</f>
        <v/>
      </c>
      <c r="AA101" s="275" t="str" cm="1">
        <f t="array" ref="AA101">IF((_xlfn.IFS(TRIM(SUBSTITUTE(Y101,CHAR(160),""))="Devis 1",IFERROR(VALUE(TRIM(SUBSTITUTE(M101,CHAR(160),""))),0),TRIM(SUBSTITUTE(Y101,CHAR(160),""))="Devis 2",IFERROR(VALUE(TRIM(SUBSTITUTE(R101,CHAR(160),""))),0),TRIM(SUBSTITUTE(Y101,CHAR(160),""))="Devis 3",IFERROR(VALUE(TRIM(SUBSTITUTE(W101,CHAR(160),""))),0),TRUE,0)*IFERROR(VALUE(TRIM(SUBSTITUTE(C101,CHAR(160),""))),0))=0,IF(Z101&lt;&gt;"",0,""),_xlfn.IFS(TRIM(SUBSTITUTE(Y101,CHAR(160),""))="Devis 1",IFERROR(VALUE(TRIM(SUBSTITUTE(M101,CHAR(160),""))),0),TRIM(SUBSTITUTE(Y101,CHAR(160),""))="Devis 2",IFERROR(VALUE(TRIM(SUBSTITUTE(R101,CHAR(160),""))),0),TRIM(SUBSTITUTE(Y101,CHAR(160),""))="Devis 3",IFERROR(VALUE(TRIM(SUBSTITUTE(W101,CHAR(160),""))),0),TRUE,0)*IFERROR(VALUE(TRIM(SUBSTITUTE(C101,CHAR(160),""))),0))</f>
        <v/>
      </c>
      <c r="AB101" s="285" t="str">
        <f t="shared" si="64"/>
        <v/>
      </c>
      <c r="AC101" s="209"/>
      <c r="AD101" s="747" t="str">
        <f t="shared" si="56"/>
        <v/>
      </c>
      <c r="AE101" s="747" t="str">
        <f t="shared" si="57"/>
        <v/>
      </c>
      <c r="AF101" s="747" t="str">
        <f t="shared" si="58"/>
        <v/>
      </c>
      <c r="AG101" s="747" t="str">
        <f t="shared" si="59"/>
        <v/>
      </c>
      <c r="AH101" s="747" t="str">
        <f t="shared" si="60"/>
        <v/>
      </c>
      <c r="AI101" s="747" t="str">
        <f t="shared" si="65"/>
        <v/>
      </c>
      <c r="AJ101" s="747" t="str">
        <f t="shared" si="66"/>
        <v/>
      </c>
      <c r="AK101" s="776" t="str">
        <f t="shared" si="67"/>
        <v/>
      </c>
      <c r="AL101" s="802" t="str">
        <f t="shared" si="68"/>
        <v/>
      </c>
      <c r="AM101" s="747" t="str">
        <f t="shared" si="69"/>
        <v/>
      </c>
      <c r="AN101" s="771" t="str">
        <f t="shared" si="70"/>
        <v/>
      </c>
      <c r="AO101" s="771" t="str">
        <f t="shared" si="71"/>
        <v/>
      </c>
      <c r="AP101" s="808" t="str">
        <f t="shared" si="72"/>
        <v/>
      </c>
      <c r="AQ101" s="819" t="str">
        <f t="shared" si="73"/>
        <v/>
      </c>
      <c r="AR101" s="771" t="str">
        <f t="shared" si="74"/>
        <v/>
      </c>
      <c r="AS101" s="771" t="str">
        <f t="shared" si="75"/>
        <v/>
      </c>
      <c r="AT101" s="771" t="str">
        <f t="shared" si="76"/>
        <v/>
      </c>
      <c r="AU101" s="808" t="str">
        <f t="shared" si="77"/>
        <v/>
      </c>
      <c r="AV101" s="842" t="str">
        <f t="shared" si="78"/>
        <v/>
      </c>
      <c r="AW101" s="771" t="str">
        <f t="shared" si="79"/>
        <v/>
      </c>
      <c r="AX101" s="771" t="str">
        <f t="shared" si="80"/>
        <v/>
      </c>
      <c r="AY101" s="771" t="str">
        <f t="shared" si="81"/>
        <v/>
      </c>
      <c r="AZ101" s="831" t="str">
        <f t="shared" si="82"/>
        <v/>
      </c>
      <c r="BA101" s="835" t="str">
        <f t="shared" si="83"/>
        <v/>
      </c>
      <c r="BB101" s="772"/>
      <c r="BC101" s="275" t="str">
        <f t="shared" si="84"/>
        <v/>
      </c>
      <c r="BD101" s="275" t="str">
        <f t="shared" si="85"/>
        <v/>
      </c>
      <c r="BE101" s="886" t="str">
        <f t="shared" si="86"/>
        <v/>
      </c>
      <c r="BF101" s="873" t="str" cm="1">
        <f t="array" ref="BF101">IF($AE101="","",
_xlfn.IFS(
$BA101="Devis 1",
IF(ISBLANK(AN101),"",IFERROR(VALUE(TRIM(SUBSTITUTE(AN101,CHAR(160),""))),0)*IFERROR(VALUE(TRIM(SUBSTITUTE($AE101,CHAR(160),""))),0)),
$BA101="Devis 2",
IF(ISBLANK(AS101),"",IFERROR(VALUE(TRIM(SUBSTITUTE(AS101,CHAR(160),""))),0)*IFERROR(VALUE(TRIM(SUBSTITUTE($AE101,CHAR(160),""))),0)),
$BA101="Devis 3",
IF(ISBLANK(AX101),"",IFERROR(VALUE(TRIM(SUBSTITUTE(AX101,CHAR(160),""))),0)*IFERROR(VALUE(TRIM(SUBSTITUTE($AE101,CHAR(160),""))),0)),
TRUE,0
)
)</f>
        <v/>
      </c>
      <c r="BG101" s="873" t="str" cm="1">
        <f t="array" ref="BG101">IF($AE101="","",
_xlfn.IFS(
$BA101="Devis 1",
IF(ISBLANK(AO101),"",IFERROR(VALUE(TRIM(SUBSTITUTE(AO101,CHAR(160),""))),0)*IFERROR(VALUE(TRIM(SUBSTITUTE($AE101,CHAR(160),""))),0)),
$BA101="Devis 2",
IF(ISBLANK(AT101),"",IFERROR(VALUE(TRIM(SUBSTITUTE(AT101,CHAR(160),""))),0)*IFERROR(VALUE(TRIM(SUBSTITUTE($AE101,CHAR(160),""))),0)),
$BA101="Devis 3",
IF(ISBLANK(AY101),"",IFERROR(VALUE(TRIM(SUBSTITUTE(AY101,CHAR(160),""))),0)*IFERROR(VALUE(TRIM(SUBSTITUTE($AE101,CHAR(160),""))),0)),
TRUE,0
)
)</f>
        <v/>
      </c>
      <c r="BH101" s="874" t="str">
        <f t="shared" si="87"/>
        <v/>
      </c>
      <c r="BI101" s="866"/>
      <c r="BJ101" s="774" t="str" cm="1">
        <f t="array" ref="BJ101">IF(OR(BH101="",BE101="",BF101="",BC101="",BG101="",BD101=""),"",_xlfn.IFS(
ROUND(IFERROR(VALUE(TRIM(SUBSTITUTE(BH101,CHAR(160),""))),0),2)&gt;
ROUND(IFERROR(VALUE(TRIM(SUBSTITUTE(BE101,CHAR(160),""))),0),2),
"KO : Le montant retenu TTC est supérieur au montant raisonnable TTC. Merci de revoir la ligne de dépense ou plafonner son montant.",
ROUND(IFERROR(VALUE(TRIM(SUBSTITUTE(BF101,CHAR(160),""))),0),2)&gt;
ROUND(IFERROR(VALUE(TRIM(SUBSTITUTE(BC101,CHAR(160),""))),0),2),
"Attention : Le montant retenu HT est supérieur au montant HT raisonnable. Merci de revoir la ligne de dépense, plafonner son montant, ou justifier la reventillation HT / TVA.",
ROUND(IFERROR(VALUE(TRIM(SUBSTITUTE(BG101,CHAR(160),""))),0),2)&gt;
ROUND(IFERROR(VALUE(TRIM(SUBSTITUTE(BD101,CHAR(160),""))),0),2),
"Attention : Le montant TVA retenu est supérieur au montant TVA raisonnable. Merci de revoir la ligne de dépense, plafonner son montant, ou justifier la reventillation HT / TVA.",
ROUND(IFERROR(VALUE(TRIM(SUBSTITUTE(BH101,CHAR(160),""))),0),2)&gt;
ROUND(IFERROR(VALUE(TRIM(SUBSTITUTE(MIN(N101,S101,X101),CHAR(160),""))),0),2),
"Attention : Le devis retenu n'est pas le moins cher. Une justification de la part du porteur est nécessaire.",
ROUND(IFERROR(VALUE(TRIM(SUBSTITUTE(BH101,CHAR(160),""))),0),2)=0,
"Attention : montant présenté entièrement écarté",
ROUND(IFERROR(VALUE(TRIM(SUBSTITUTE(BE101,CHAR(160),""))),0),2)=
ROUND(IFERROR(VALUE(TRIM(SUBSTITUTE(BH101,CHAR(160),""))),0),2),
"OK",
ROUND(IFERROR(VALUE(TRIM(SUBSTITUTE(BE101,CHAR(160),""))),0),2)&gt;
ROUND(IFERROR(VALUE(TRIM(SUBSTITUTE(BH101,CHAR(160),""))),0),2),
" OK : Montant instruit inférieur au montant raisonnable.",
TRUE,""
))</f>
        <v/>
      </c>
      <c r="BK101" s="774" t="str" cm="1">
        <f t="array" ref="BK101">IF(OR(BH101="",AB101="",BF101="",Z101="",BG101="",AA101=""),"",_xlfn.IFS(
ROUND(IFERROR(VALUE(TRIM(SUBSTITUTE(BH101,CHAR(160),""))),0),2)&gt;
ROUND(IFERROR(VALUE(TRIM(SUBSTITUTE(AB101,CHAR(160),""))),0),2),
"KO : Le montant retenu TTC est supérieur au montant présenté TTC. Merci de revoir la ligne de dépense ou plafonner son montant.",
ROUND(IFERROR(VALUE(TRIM(SUBSTITUTE(BF101,CHAR(160),""))),0),2)&gt;
ROUND(IFERROR(VALUE(TRIM(SUBSTITUTE(Z101,CHAR(160),""))),0),2),
"Attention : Le montant retenu HT est supérieur au montant HT présenté. Merci de revoir la ligne de dépense, plafonner son montant, ou justifier la reventillation HT / TVA.",
ROUND(IFERROR(VALUE(TRIM(SUBSTITUTE(BG101,CHAR(160),""))),0),2)&gt;
ROUND(IFERROR(VALUE(TRIM(SUBSTITUTE(AA101,CHAR(160),""))),0),2),
"Attention : Le montant TVA retenu est supérieur au montant TVA présenté. Merci de revoir la ligne de dépense, plafonner son montant, ou justifier la reventillation HT / TVA.",
ROUND(IFERROR(VALUE(TRIM(SUBSTITUTE(AB101,CHAR(160),""))),0),2)=0,
"",
ROUND(IFERROR(VALUE(TRIM(SUBSTITUTE(BH101,CHAR(160),""))),0),2)=
ROUND(IFERROR(VALUE(TRIM(SUBSTITUTE(AB101,CHAR(160),""))),0),2),
"OK",
ROUND(IFERROR(VALUE(TRIM(SUBSTITUTE(BH101,CHAR(160),""))),0),2)=0,
"Attention : Montant présenté entièrement rejeté.",
ROUND(IFERROR(VALUE(TRIM(SUBSTITUTE(BH101,CHAR(160),""))),0),2)&lt;
ROUND(IFERROR(VALUE(TRIM(SUBSTITUTE(AB101,CHAR(160),""))),0),2),
"Attention : Montant présenté partiellement rejeté.",
TRUE,""
))</f>
        <v/>
      </c>
      <c r="BL101" s="773" t="str">
        <f t="shared" si="88"/>
        <v/>
      </c>
      <c r="BM101" s="773" t="str">
        <f t="shared" si="89"/>
        <v/>
      </c>
      <c r="BN101" s="773" t="str">
        <f t="shared" si="90"/>
        <v/>
      </c>
    </row>
    <row r="102" spans="1:66" ht="15" customHeight="1">
      <c r="A102" s="193">
        <v>98</v>
      </c>
      <c r="B102" s="7"/>
      <c r="C102" s="9"/>
      <c r="D102" s="30"/>
      <c r="E102" s="36"/>
      <c r="F102" s="34"/>
      <c r="G102" s="35"/>
      <c r="H102" s="685"/>
      <c r="I102" s="786"/>
      <c r="J102" s="792"/>
      <c r="K102" s="758"/>
      <c r="L102" s="761"/>
      <c r="M102" s="762"/>
      <c r="N102" s="808" t="str">
        <f t="shared" si="61"/>
        <v/>
      </c>
      <c r="O102" s="846"/>
      <c r="P102" s="847"/>
      <c r="Q102" s="762"/>
      <c r="R102" s="762"/>
      <c r="S102" s="808" t="str">
        <f t="shared" si="62"/>
        <v/>
      </c>
      <c r="T102" s="850"/>
      <c r="U102" s="847"/>
      <c r="V102" s="762"/>
      <c r="W102" s="762"/>
      <c r="X102" s="830" t="str">
        <f t="shared" si="63"/>
        <v/>
      </c>
      <c r="Y102" s="246"/>
      <c r="Z102" s="284" t="str" cm="1">
        <f t="array" ref="Z102">IF((_xlfn.IFS(TRIM(SUBSTITUTE(Y102,CHAR(160),""))="Devis 1",IFERROR(VALUE(TRIM(SUBSTITUTE(L102,CHAR(160),""))),0),TRIM(SUBSTITUTE(Y102,CHAR(160),""))="Devis 2",IFERROR(VALUE(TRIM(SUBSTITUTE(Q102,CHAR(160),""))),0),TRIM(SUBSTITUTE(Y102,CHAR(160),""))="Devis 3",IFERROR(VALUE(TRIM(SUBSTITUTE(V102,CHAR(160),""))),0),TRUE,0)*IFERROR(VALUE(TRIM(SUBSTITUTE(C102,CHAR(160),""))),0))=0,"",_xlfn.IFS(TRIM(SUBSTITUTE(Y102,CHAR(160),""))="Devis 1",IFERROR(VALUE(TRIM(SUBSTITUTE(L102,CHAR(160),""))),0),TRIM(SUBSTITUTE(Y102,CHAR(160),""))="Devis 2",IFERROR(VALUE(TRIM(SUBSTITUTE(Q102,CHAR(160),""))),0),TRIM(SUBSTITUTE(Y102,CHAR(160),""))="Devis 3",IFERROR(VALUE(TRIM(SUBSTITUTE(V102,CHAR(160),""))),0),TRUE,0)*IFERROR(VALUE(TRIM(SUBSTITUTE(C102,CHAR(160),""))),0))</f>
        <v/>
      </c>
      <c r="AA102" s="275" t="str" cm="1">
        <f t="array" ref="AA102">IF((_xlfn.IFS(TRIM(SUBSTITUTE(Y102,CHAR(160),""))="Devis 1",IFERROR(VALUE(TRIM(SUBSTITUTE(M102,CHAR(160),""))),0),TRIM(SUBSTITUTE(Y102,CHAR(160),""))="Devis 2",IFERROR(VALUE(TRIM(SUBSTITUTE(R102,CHAR(160),""))),0),TRIM(SUBSTITUTE(Y102,CHAR(160),""))="Devis 3",IFERROR(VALUE(TRIM(SUBSTITUTE(W102,CHAR(160),""))),0),TRUE,0)*IFERROR(VALUE(TRIM(SUBSTITUTE(C102,CHAR(160),""))),0))=0,IF(Z102&lt;&gt;"",0,""),_xlfn.IFS(TRIM(SUBSTITUTE(Y102,CHAR(160),""))="Devis 1",IFERROR(VALUE(TRIM(SUBSTITUTE(M102,CHAR(160),""))),0),TRIM(SUBSTITUTE(Y102,CHAR(160),""))="Devis 2",IFERROR(VALUE(TRIM(SUBSTITUTE(R102,CHAR(160),""))),0),TRIM(SUBSTITUTE(Y102,CHAR(160),""))="Devis 3",IFERROR(VALUE(TRIM(SUBSTITUTE(W102,CHAR(160),""))),0),TRUE,0)*IFERROR(VALUE(TRIM(SUBSTITUTE(C102,CHAR(160),""))),0))</f>
        <v/>
      </c>
      <c r="AB102" s="285" t="str">
        <f t="shared" si="64"/>
        <v/>
      </c>
      <c r="AC102" s="209"/>
      <c r="AD102" s="747" t="str">
        <f t="shared" si="56"/>
        <v/>
      </c>
      <c r="AE102" s="747" t="str">
        <f t="shared" si="57"/>
        <v/>
      </c>
      <c r="AF102" s="747" t="str">
        <f t="shared" si="58"/>
        <v/>
      </c>
      <c r="AG102" s="747" t="str">
        <f t="shared" si="59"/>
        <v/>
      </c>
      <c r="AH102" s="747" t="str">
        <f t="shared" si="60"/>
        <v/>
      </c>
      <c r="AI102" s="747" t="str">
        <f t="shared" si="65"/>
        <v/>
      </c>
      <c r="AJ102" s="747" t="str">
        <f t="shared" si="66"/>
        <v/>
      </c>
      <c r="AK102" s="776" t="str">
        <f t="shared" si="67"/>
        <v/>
      </c>
      <c r="AL102" s="802" t="str">
        <f t="shared" si="68"/>
        <v/>
      </c>
      <c r="AM102" s="747" t="str">
        <f t="shared" si="69"/>
        <v/>
      </c>
      <c r="AN102" s="771" t="str">
        <f t="shared" si="70"/>
        <v/>
      </c>
      <c r="AO102" s="771" t="str">
        <f t="shared" si="71"/>
        <v/>
      </c>
      <c r="AP102" s="808" t="str">
        <f t="shared" si="72"/>
        <v/>
      </c>
      <c r="AQ102" s="819" t="str">
        <f t="shared" si="73"/>
        <v/>
      </c>
      <c r="AR102" s="771" t="str">
        <f t="shared" si="74"/>
        <v/>
      </c>
      <c r="AS102" s="771" t="str">
        <f t="shared" si="75"/>
        <v/>
      </c>
      <c r="AT102" s="771" t="str">
        <f t="shared" si="76"/>
        <v/>
      </c>
      <c r="AU102" s="808" t="str">
        <f t="shared" si="77"/>
        <v/>
      </c>
      <c r="AV102" s="842" t="str">
        <f t="shared" si="78"/>
        <v/>
      </c>
      <c r="AW102" s="771" t="str">
        <f t="shared" si="79"/>
        <v/>
      </c>
      <c r="AX102" s="771" t="str">
        <f t="shared" si="80"/>
        <v/>
      </c>
      <c r="AY102" s="771" t="str">
        <f t="shared" si="81"/>
        <v/>
      </c>
      <c r="AZ102" s="831" t="str">
        <f t="shared" si="82"/>
        <v/>
      </c>
      <c r="BA102" s="835" t="str">
        <f t="shared" si="83"/>
        <v/>
      </c>
      <c r="BB102" s="772"/>
      <c r="BC102" s="275" t="str">
        <f t="shared" si="84"/>
        <v/>
      </c>
      <c r="BD102" s="275" t="str">
        <f t="shared" si="85"/>
        <v/>
      </c>
      <c r="BE102" s="886" t="str">
        <f t="shared" si="86"/>
        <v/>
      </c>
      <c r="BF102" s="873" t="str" cm="1">
        <f t="array" ref="BF102">IF($AE102="","",
_xlfn.IFS(
$BA102="Devis 1",
IF(ISBLANK(AN102),"",IFERROR(VALUE(TRIM(SUBSTITUTE(AN102,CHAR(160),""))),0)*IFERROR(VALUE(TRIM(SUBSTITUTE($AE102,CHAR(160),""))),0)),
$BA102="Devis 2",
IF(ISBLANK(AS102),"",IFERROR(VALUE(TRIM(SUBSTITUTE(AS102,CHAR(160),""))),0)*IFERROR(VALUE(TRIM(SUBSTITUTE($AE102,CHAR(160),""))),0)),
$BA102="Devis 3",
IF(ISBLANK(AX102),"",IFERROR(VALUE(TRIM(SUBSTITUTE(AX102,CHAR(160),""))),0)*IFERROR(VALUE(TRIM(SUBSTITUTE($AE102,CHAR(160),""))),0)),
TRUE,0
)
)</f>
        <v/>
      </c>
      <c r="BG102" s="873" t="str" cm="1">
        <f t="array" ref="BG102">IF($AE102="","",
_xlfn.IFS(
$BA102="Devis 1",
IF(ISBLANK(AO102),"",IFERROR(VALUE(TRIM(SUBSTITUTE(AO102,CHAR(160),""))),0)*IFERROR(VALUE(TRIM(SUBSTITUTE($AE102,CHAR(160),""))),0)),
$BA102="Devis 2",
IF(ISBLANK(AT102),"",IFERROR(VALUE(TRIM(SUBSTITUTE(AT102,CHAR(160),""))),0)*IFERROR(VALUE(TRIM(SUBSTITUTE($AE102,CHAR(160),""))),0)),
$BA102="Devis 3",
IF(ISBLANK(AY102),"",IFERROR(VALUE(TRIM(SUBSTITUTE(AY102,CHAR(160),""))),0)*IFERROR(VALUE(TRIM(SUBSTITUTE($AE102,CHAR(160),""))),0)),
TRUE,0
)
)</f>
        <v/>
      </c>
      <c r="BH102" s="874" t="str">
        <f t="shared" si="87"/>
        <v/>
      </c>
      <c r="BI102" s="866"/>
      <c r="BJ102" s="774" t="str" cm="1">
        <f t="array" ref="BJ102">IF(OR(BH102="",BE102="",BF102="",BC102="",BG102="",BD102=""),"",_xlfn.IFS(
ROUND(IFERROR(VALUE(TRIM(SUBSTITUTE(BH102,CHAR(160),""))),0),2)&gt;
ROUND(IFERROR(VALUE(TRIM(SUBSTITUTE(BE102,CHAR(160),""))),0),2),
"KO : Le montant retenu TTC est supérieur au montant raisonnable TTC. Merci de revoir la ligne de dépense ou plafonner son montant.",
ROUND(IFERROR(VALUE(TRIM(SUBSTITUTE(BF102,CHAR(160),""))),0),2)&gt;
ROUND(IFERROR(VALUE(TRIM(SUBSTITUTE(BC102,CHAR(160),""))),0),2),
"Attention : Le montant retenu HT est supérieur au montant HT raisonnable. Merci de revoir la ligne de dépense, plafonner son montant, ou justifier la reventillation HT / TVA.",
ROUND(IFERROR(VALUE(TRIM(SUBSTITUTE(BG102,CHAR(160),""))),0),2)&gt;
ROUND(IFERROR(VALUE(TRIM(SUBSTITUTE(BD102,CHAR(160),""))),0),2),
"Attention : Le montant TVA retenu est supérieur au montant TVA raisonnable. Merci de revoir la ligne de dépense, plafonner son montant, ou justifier la reventillation HT / TVA.",
ROUND(IFERROR(VALUE(TRIM(SUBSTITUTE(BH102,CHAR(160),""))),0),2)&gt;
ROUND(IFERROR(VALUE(TRIM(SUBSTITUTE(MIN(N102,S102,X102),CHAR(160),""))),0),2),
"Attention : Le devis retenu n'est pas le moins cher. Une justification de la part du porteur est nécessaire.",
ROUND(IFERROR(VALUE(TRIM(SUBSTITUTE(BH102,CHAR(160),""))),0),2)=0,
"Attention : montant présenté entièrement écarté",
ROUND(IFERROR(VALUE(TRIM(SUBSTITUTE(BE102,CHAR(160),""))),0),2)=
ROUND(IFERROR(VALUE(TRIM(SUBSTITUTE(BH102,CHAR(160),""))),0),2),
"OK",
ROUND(IFERROR(VALUE(TRIM(SUBSTITUTE(BE102,CHAR(160),""))),0),2)&gt;
ROUND(IFERROR(VALUE(TRIM(SUBSTITUTE(BH102,CHAR(160),""))),0),2),
" OK : Montant instruit inférieur au montant raisonnable.",
TRUE,""
))</f>
        <v/>
      </c>
      <c r="BK102" s="774" t="str" cm="1">
        <f t="array" ref="BK102">IF(OR(BH102="",AB102="",BF102="",Z102="",BG102="",AA102=""),"",_xlfn.IFS(
ROUND(IFERROR(VALUE(TRIM(SUBSTITUTE(BH102,CHAR(160),""))),0),2)&gt;
ROUND(IFERROR(VALUE(TRIM(SUBSTITUTE(AB102,CHAR(160),""))),0),2),
"KO : Le montant retenu TTC est supérieur au montant présenté TTC. Merci de revoir la ligne de dépense ou plafonner son montant.",
ROUND(IFERROR(VALUE(TRIM(SUBSTITUTE(BF102,CHAR(160),""))),0),2)&gt;
ROUND(IFERROR(VALUE(TRIM(SUBSTITUTE(Z102,CHAR(160),""))),0),2),
"Attention : Le montant retenu HT est supérieur au montant HT présenté. Merci de revoir la ligne de dépense, plafonner son montant, ou justifier la reventillation HT / TVA.",
ROUND(IFERROR(VALUE(TRIM(SUBSTITUTE(BG102,CHAR(160),""))),0),2)&gt;
ROUND(IFERROR(VALUE(TRIM(SUBSTITUTE(AA102,CHAR(160),""))),0),2),
"Attention : Le montant TVA retenu est supérieur au montant TVA présenté. Merci de revoir la ligne de dépense, plafonner son montant, ou justifier la reventillation HT / TVA.",
ROUND(IFERROR(VALUE(TRIM(SUBSTITUTE(AB102,CHAR(160),""))),0),2)=0,
"",
ROUND(IFERROR(VALUE(TRIM(SUBSTITUTE(BH102,CHAR(160),""))),0),2)=
ROUND(IFERROR(VALUE(TRIM(SUBSTITUTE(AB102,CHAR(160),""))),0),2),
"OK",
ROUND(IFERROR(VALUE(TRIM(SUBSTITUTE(BH102,CHAR(160),""))),0),2)=0,
"Attention : Montant présenté entièrement rejeté.",
ROUND(IFERROR(VALUE(TRIM(SUBSTITUTE(BH102,CHAR(160),""))),0),2)&lt;
ROUND(IFERROR(VALUE(TRIM(SUBSTITUTE(AB102,CHAR(160),""))),0),2),
"Attention : Montant présenté partiellement rejeté.",
TRUE,""
))</f>
        <v/>
      </c>
      <c r="BL102" s="773" t="str">
        <f t="shared" si="88"/>
        <v/>
      </c>
      <c r="BM102" s="773" t="str">
        <f t="shared" si="89"/>
        <v/>
      </c>
      <c r="BN102" s="773" t="str">
        <f t="shared" si="90"/>
        <v/>
      </c>
    </row>
    <row r="103" spans="1:66" ht="15" customHeight="1">
      <c r="A103" s="193">
        <v>99</v>
      </c>
      <c r="B103" s="7"/>
      <c r="C103" s="9"/>
      <c r="D103" s="30"/>
      <c r="E103" s="36"/>
      <c r="F103" s="34"/>
      <c r="G103" s="35"/>
      <c r="H103" s="685"/>
      <c r="I103" s="786"/>
      <c r="J103" s="792"/>
      <c r="K103" s="758"/>
      <c r="L103" s="761"/>
      <c r="M103" s="762"/>
      <c r="N103" s="808" t="str">
        <f t="shared" si="61"/>
        <v/>
      </c>
      <c r="O103" s="846"/>
      <c r="P103" s="847"/>
      <c r="Q103" s="762"/>
      <c r="R103" s="762"/>
      <c r="S103" s="808" t="str">
        <f t="shared" si="62"/>
        <v/>
      </c>
      <c r="T103" s="850"/>
      <c r="U103" s="847"/>
      <c r="V103" s="762"/>
      <c r="W103" s="762"/>
      <c r="X103" s="830" t="str">
        <f t="shared" si="63"/>
        <v/>
      </c>
      <c r="Y103" s="246"/>
      <c r="Z103" s="284" t="str" cm="1">
        <f t="array" ref="Z103">IF((_xlfn.IFS(TRIM(SUBSTITUTE(Y103,CHAR(160),""))="Devis 1",IFERROR(VALUE(TRIM(SUBSTITUTE(L103,CHAR(160),""))),0),TRIM(SUBSTITUTE(Y103,CHAR(160),""))="Devis 2",IFERROR(VALUE(TRIM(SUBSTITUTE(Q103,CHAR(160),""))),0),TRIM(SUBSTITUTE(Y103,CHAR(160),""))="Devis 3",IFERROR(VALUE(TRIM(SUBSTITUTE(V103,CHAR(160),""))),0),TRUE,0)*IFERROR(VALUE(TRIM(SUBSTITUTE(C103,CHAR(160),""))),0))=0,"",_xlfn.IFS(TRIM(SUBSTITUTE(Y103,CHAR(160),""))="Devis 1",IFERROR(VALUE(TRIM(SUBSTITUTE(L103,CHAR(160),""))),0),TRIM(SUBSTITUTE(Y103,CHAR(160),""))="Devis 2",IFERROR(VALUE(TRIM(SUBSTITUTE(Q103,CHAR(160),""))),0),TRIM(SUBSTITUTE(Y103,CHAR(160),""))="Devis 3",IFERROR(VALUE(TRIM(SUBSTITUTE(V103,CHAR(160),""))),0),TRUE,0)*IFERROR(VALUE(TRIM(SUBSTITUTE(C103,CHAR(160),""))),0))</f>
        <v/>
      </c>
      <c r="AA103" s="275" t="str" cm="1">
        <f t="array" ref="AA103">IF((_xlfn.IFS(TRIM(SUBSTITUTE(Y103,CHAR(160),""))="Devis 1",IFERROR(VALUE(TRIM(SUBSTITUTE(M103,CHAR(160),""))),0),TRIM(SUBSTITUTE(Y103,CHAR(160),""))="Devis 2",IFERROR(VALUE(TRIM(SUBSTITUTE(R103,CHAR(160),""))),0),TRIM(SUBSTITUTE(Y103,CHAR(160),""))="Devis 3",IFERROR(VALUE(TRIM(SUBSTITUTE(W103,CHAR(160),""))),0),TRUE,0)*IFERROR(VALUE(TRIM(SUBSTITUTE(C103,CHAR(160),""))),0))=0,IF(Z103&lt;&gt;"",0,""),_xlfn.IFS(TRIM(SUBSTITUTE(Y103,CHAR(160),""))="Devis 1",IFERROR(VALUE(TRIM(SUBSTITUTE(M103,CHAR(160),""))),0),TRIM(SUBSTITUTE(Y103,CHAR(160),""))="Devis 2",IFERROR(VALUE(TRIM(SUBSTITUTE(R103,CHAR(160),""))),0),TRIM(SUBSTITUTE(Y103,CHAR(160),""))="Devis 3",IFERROR(VALUE(TRIM(SUBSTITUTE(W103,CHAR(160),""))),0),TRUE,0)*IFERROR(VALUE(TRIM(SUBSTITUTE(C103,CHAR(160),""))),0))</f>
        <v/>
      </c>
      <c r="AB103" s="285" t="str">
        <f t="shared" si="64"/>
        <v/>
      </c>
      <c r="AC103" s="209"/>
      <c r="AD103" s="747" t="str">
        <f t="shared" si="56"/>
        <v/>
      </c>
      <c r="AE103" s="747" t="str">
        <f t="shared" si="57"/>
        <v/>
      </c>
      <c r="AF103" s="747" t="str">
        <f t="shared" si="58"/>
        <v/>
      </c>
      <c r="AG103" s="747" t="str">
        <f t="shared" si="59"/>
        <v/>
      </c>
      <c r="AH103" s="747" t="str">
        <f t="shared" si="60"/>
        <v/>
      </c>
      <c r="AI103" s="747" t="str">
        <f t="shared" si="65"/>
        <v/>
      </c>
      <c r="AJ103" s="747" t="str">
        <f t="shared" si="66"/>
        <v/>
      </c>
      <c r="AK103" s="776" t="str">
        <f t="shared" si="67"/>
        <v/>
      </c>
      <c r="AL103" s="802" t="str">
        <f t="shared" si="68"/>
        <v/>
      </c>
      <c r="AM103" s="747" t="str">
        <f t="shared" si="69"/>
        <v/>
      </c>
      <c r="AN103" s="771" t="str">
        <f t="shared" si="70"/>
        <v/>
      </c>
      <c r="AO103" s="771" t="str">
        <f t="shared" si="71"/>
        <v/>
      </c>
      <c r="AP103" s="808" t="str">
        <f t="shared" si="72"/>
        <v/>
      </c>
      <c r="AQ103" s="819" t="str">
        <f t="shared" si="73"/>
        <v/>
      </c>
      <c r="AR103" s="771" t="str">
        <f t="shared" si="74"/>
        <v/>
      </c>
      <c r="AS103" s="771" t="str">
        <f t="shared" si="75"/>
        <v/>
      </c>
      <c r="AT103" s="771" t="str">
        <f t="shared" si="76"/>
        <v/>
      </c>
      <c r="AU103" s="808" t="str">
        <f t="shared" si="77"/>
        <v/>
      </c>
      <c r="AV103" s="842" t="str">
        <f t="shared" si="78"/>
        <v/>
      </c>
      <c r="AW103" s="771" t="str">
        <f t="shared" si="79"/>
        <v/>
      </c>
      <c r="AX103" s="771" t="str">
        <f t="shared" si="80"/>
        <v/>
      </c>
      <c r="AY103" s="771" t="str">
        <f t="shared" si="81"/>
        <v/>
      </c>
      <c r="AZ103" s="831" t="str">
        <f t="shared" si="82"/>
        <v/>
      </c>
      <c r="BA103" s="835" t="str">
        <f t="shared" si="83"/>
        <v/>
      </c>
      <c r="BB103" s="772"/>
      <c r="BC103" s="275" t="str">
        <f t="shared" si="84"/>
        <v/>
      </c>
      <c r="BD103" s="275" t="str">
        <f t="shared" si="85"/>
        <v/>
      </c>
      <c r="BE103" s="886" t="str">
        <f t="shared" si="86"/>
        <v/>
      </c>
      <c r="BF103" s="873" t="str" cm="1">
        <f t="array" ref="BF103">IF($AE103="","",
_xlfn.IFS(
$BA103="Devis 1",
IF(ISBLANK(AN103),"",IFERROR(VALUE(TRIM(SUBSTITUTE(AN103,CHAR(160),""))),0)*IFERROR(VALUE(TRIM(SUBSTITUTE($AE103,CHAR(160),""))),0)),
$BA103="Devis 2",
IF(ISBLANK(AS103),"",IFERROR(VALUE(TRIM(SUBSTITUTE(AS103,CHAR(160),""))),0)*IFERROR(VALUE(TRIM(SUBSTITUTE($AE103,CHAR(160),""))),0)),
$BA103="Devis 3",
IF(ISBLANK(AX103),"",IFERROR(VALUE(TRIM(SUBSTITUTE(AX103,CHAR(160),""))),0)*IFERROR(VALUE(TRIM(SUBSTITUTE($AE103,CHAR(160),""))),0)),
TRUE,0
)
)</f>
        <v/>
      </c>
      <c r="BG103" s="873" t="str" cm="1">
        <f t="array" ref="BG103">IF($AE103="","",
_xlfn.IFS(
$BA103="Devis 1",
IF(ISBLANK(AO103),"",IFERROR(VALUE(TRIM(SUBSTITUTE(AO103,CHAR(160),""))),0)*IFERROR(VALUE(TRIM(SUBSTITUTE($AE103,CHAR(160),""))),0)),
$BA103="Devis 2",
IF(ISBLANK(AT103),"",IFERROR(VALUE(TRIM(SUBSTITUTE(AT103,CHAR(160),""))),0)*IFERROR(VALUE(TRIM(SUBSTITUTE($AE103,CHAR(160),""))),0)),
$BA103="Devis 3",
IF(ISBLANK(AY103),"",IFERROR(VALUE(TRIM(SUBSTITUTE(AY103,CHAR(160),""))),0)*IFERROR(VALUE(TRIM(SUBSTITUTE($AE103,CHAR(160),""))),0)),
TRUE,0
)
)</f>
        <v/>
      </c>
      <c r="BH103" s="874" t="str">
        <f t="shared" si="87"/>
        <v/>
      </c>
      <c r="BI103" s="866"/>
      <c r="BJ103" s="774" t="str" cm="1">
        <f t="array" ref="BJ103">IF(OR(BH103="",BE103="",BF103="",BC103="",BG103="",BD103=""),"",_xlfn.IFS(
ROUND(IFERROR(VALUE(TRIM(SUBSTITUTE(BH103,CHAR(160),""))),0),2)&gt;
ROUND(IFERROR(VALUE(TRIM(SUBSTITUTE(BE103,CHAR(160),""))),0),2),
"KO : Le montant retenu TTC est supérieur au montant raisonnable TTC. Merci de revoir la ligne de dépense ou plafonner son montant.",
ROUND(IFERROR(VALUE(TRIM(SUBSTITUTE(BF103,CHAR(160),""))),0),2)&gt;
ROUND(IFERROR(VALUE(TRIM(SUBSTITUTE(BC103,CHAR(160),""))),0),2),
"Attention : Le montant retenu HT est supérieur au montant HT raisonnable. Merci de revoir la ligne de dépense, plafonner son montant, ou justifier la reventillation HT / TVA.",
ROUND(IFERROR(VALUE(TRIM(SUBSTITUTE(BG103,CHAR(160),""))),0),2)&gt;
ROUND(IFERROR(VALUE(TRIM(SUBSTITUTE(BD103,CHAR(160),""))),0),2),
"Attention : Le montant TVA retenu est supérieur au montant TVA raisonnable. Merci de revoir la ligne de dépense, plafonner son montant, ou justifier la reventillation HT / TVA.",
ROUND(IFERROR(VALUE(TRIM(SUBSTITUTE(BH103,CHAR(160),""))),0),2)&gt;
ROUND(IFERROR(VALUE(TRIM(SUBSTITUTE(MIN(N103,S103,X103),CHAR(160),""))),0),2),
"Attention : Le devis retenu n'est pas le moins cher. Une justification de la part du porteur est nécessaire.",
ROUND(IFERROR(VALUE(TRIM(SUBSTITUTE(BH103,CHAR(160),""))),0),2)=0,
"Attention : montant présenté entièrement écarté",
ROUND(IFERROR(VALUE(TRIM(SUBSTITUTE(BE103,CHAR(160),""))),0),2)=
ROUND(IFERROR(VALUE(TRIM(SUBSTITUTE(BH103,CHAR(160),""))),0),2),
"OK",
ROUND(IFERROR(VALUE(TRIM(SUBSTITUTE(BE103,CHAR(160),""))),0),2)&gt;
ROUND(IFERROR(VALUE(TRIM(SUBSTITUTE(BH103,CHAR(160),""))),0),2),
" OK : Montant instruit inférieur au montant raisonnable.",
TRUE,""
))</f>
        <v/>
      </c>
      <c r="BK103" s="774" t="str" cm="1">
        <f t="array" ref="BK103">IF(OR(BH103="",AB103="",BF103="",Z103="",BG103="",AA103=""),"",_xlfn.IFS(
ROUND(IFERROR(VALUE(TRIM(SUBSTITUTE(BH103,CHAR(160),""))),0),2)&gt;
ROUND(IFERROR(VALUE(TRIM(SUBSTITUTE(AB103,CHAR(160),""))),0),2),
"KO : Le montant retenu TTC est supérieur au montant présenté TTC. Merci de revoir la ligne de dépense ou plafonner son montant.",
ROUND(IFERROR(VALUE(TRIM(SUBSTITUTE(BF103,CHAR(160),""))),0),2)&gt;
ROUND(IFERROR(VALUE(TRIM(SUBSTITUTE(Z103,CHAR(160),""))),0),2),
"Attention : Le montant retenu HT est supérieur au montant HT présenté. Merci de revoir la ligne de dépense, plafonner son montant, ou justifier la reventillation HT / TVA.",
ROUND(IFERROR(VALUE(TRIM(SUBSTITUTE(BG103,CHAR(160),""))),0),2)&gt;
ROUND(IFERROR(VALUE(TRIM(SUBSTITUTE(AA103,CHAR(160),""))),0),2),
"Attention : Le montant TVA retenu est supérieur au montant TVA présenté. Merci de revoir la ligne de dépense, plafonner son montant, ou justifier la reventillation HT / TVA.",
ROUND(IFERROR(VALUE(TRIM(SUBSTITUTE(AB103,CHAR(160),""))),0),2)=0,
"",
ROUND(IFERROR(VALUE(TRIM(SUBSTITUTE(BH103,CHAR(160),""))),0),2)=
ROUND(IFERROR(VALUE(TRIM(SUBSTITUTE(AB103,CHAR(160),""))),0),2),
"OK",
ROUND(IFERROR(VALUE(TRIM(SUBSTITUTE(BH103,CHAR(160),""))),0),2)=0,
"Attention : Montant présenté entièrement rejeté.",
ROUND(IFERROR(VALUE(TRIM(SUBSTITUTE(BH103,CHAR(160),""))),0),2)&lt;
ROUND(IFERROR(VALUE(TRIM(SUBSTITUTE(AB103,CHAR(160),""))),0),2),
"Attention : Montant présenté partiellement rejeté.",
TRUE,""
))</f>
        <v/>
      </c>
      <c r="BL103" s="773" t="str">
        <f t="shared" si="88"/>
        <v/>
      </c>
      <c r="BM103" s="773" t="str">
        <f t="shared" si="89"/>
        <v/>
      </c>
      <c r="BN103" s="773" t="str">
        <f t="shared" si="90"/>
        <v/>
      </c>
    </row>
    <row r="104" spans="1:66" ht="15" customHeight="1" thickBot="1">
      <c r="A104" s="193">
        <v>100</v>
      </c>
      <c r="B104" s="7"/>
      <c r="C104" s="9"/>
      <c r="D104" s="30"/>
      <c r="E104" s="36"/>
      <c r="F104" s="34"/>
      <c r="G104" s="35"/>
      <c r="H104" s="685"/>
      <c r="I104" s="786"/>
      <c r="J104" s="792"/>
      <c r="K104" s="758"/>
      <c r="L104" s="761"/>
      <c r="M104" s="762"/>
      <c r="N104" s="808" t="str">
        <f t="shared" si="61"/>
        <v/>
      </c>
      <c r="O104" s="846"/>
      <c r="P104" s="847"/>
      <c r="Q104" s="762"/>
      <c r="R104" s="762"/>
      <c r="S104" s="808" t="str">
        <f t="shared" si="62"/>
        <v/>
      </c>
      <c r="T104" s="850"/>
      <c r="U104" s="847"/>
      <c r="V104" s="762"/>
      <c r="W104" s="762"/>
      <c r="X104" s="831" t="str">
        <f t="shared" si="63"/>
        <v/>
      </c>
      <c r="Y104" s="246"/>
      <c r="Z104" s="284" t="str" cm="1">
        <f t="array" ref="Z104">IF((_xlfn.IFS(TRIM(SUBSTITUTE(Y104,CHAR(160),""))="Devis 1",IFERROR(VALUE(TRIM(SUBSTITUTE(L104,CHAR(160),""))),0),TRIM(SUBSTITUTE(Y104,CHAR(160),""))="Devis 2",IFERROR(VALUE(TRIM(SUBSTITUTE(Q104,CHAR(160),""))),0),TRIM(SUBSTITUTE(Y104,CHAR(160),""))="Devis 3",IFERROR(VALUE(TRIM(SUBSTITUTE(V104,CHAR(160),""))),0),TRUE,0)*IFERROR(VALUE(TRIM(SUBSTITUTE(C104,CHAR(160),""))),0))=0,"",_xlfn.IFS(TRIM(SUBSTITUTE(Y104,CHAR(160),""))="Devis 1",IFERROR(VALUE(TRIM(SUBSTITUTE(L104,CHAR(160),""))),0),TRIM(SUBSTITUTE(Y104,CHAR(160),""))="Devis 2",IFERROR(VALUE(TRIM(SUBSTITUTE(Q104,CHAR(160),""))),0),TRIM(SUBSTITUTE(Y104,CHAR(160),""))="Devis 3",IFERROR(VALUE(TRIM(SUBSTITUTE(V104,CHAR(160),""))),0),TRUE,0)*IFERROR(VALUE(TRIM(SUBSTITUTE(C104,CHAR(160),""))),0))</f>
        <v/>
      </c>
      <c r="AA104" s="275" t="str" cm="1">
        <f t="array" ref="AA104">IF((_xlfn.IFS(TRIM(SUBSTITUTE(Y104,CHAR(160),""))="Devis 1",IFERROR(VALUE(TRIM(SUBSTITUTE(M104,CHAR(160),""))),0),TRIM(SUBSTITUTE(Y104,CHAR(160),""))="Devis 2",IFERROR(VALUE(TRIM(SUBSTITUTE(R104,CHAR(160),""))),0),TRIM(SUBSTITUTE(Y104,CHAR(160),""))="Devis 3",IFERROR(VALUE(TRIM(SUBSTITUTE(W104,CHAR(160),""))),0),TRUE,0)*IFERROR(VALUE(TRIM(SUBSTITUTE(C104,CHAR(160),""))),0))=0,IF(Z104&lt;&gt;"",0,""),_xlfn.IFS(TRIM(SUBSTITUTE(Y104,CHAR(160),""))="Devis 1",IFERROR(VALUE(TRIM(SUBSTITUTE(M104,CHAR(160),""))),0),TRIM(SUBSTITUTE(Y104,CHAR(160),""))="Devis 2",IFERROR(VALUE(TRIM(SUBSTITUTE(R104,CHAR(160),""))),0),TRIM(SUBSTITUTE(Y104,CHAR(160),""))="Devis 3",IFERROR(VALUE(TRIM(SUBSTITUTE(W104,CHAR(160),""))),0),TRUE,0)*IFERROR(VALUE(TRIM(SUBSTITUTE(C104,CHAR(160),""))),0))</f>
        <v/>
      </c>
      <c r="AB104" s="285" t="str">
        <f t="shared" si="64"/>
        <v/>
      </c>
      <c r="AC104" s="209"/>
      <c r="AD104" s="747" t="str">
        <f t="shared" si="56"/>
        <v/>
      </c>
      <c r="AE104" s="747" t="str">
        <f t="shared" si="57"/>
        <v/>
      </c>
      <c r="AF104" s="747" t="str">
        <f t="shared" si="58"/>
        <v/>
      </c>
      <c r="AG104" s="747" t="str">
        <f t="shared" si="59"/>
        <v/>
      </c>
      <c r="AH104" s="747" t="str">
        <f t="shared" si="60"/>
        <v/>
      </c>
      <c r="AI104" s="747" t="str">
        <f t="shared" si="65"/>
        <v/>
      </c>
      <c r="AJ104" s="747" t="str">
        <f t="shared" si="66"/>
        <v/>
      </c>
      <c r="AK104" s="776" t="str">
        <f t="shared" si="67"/>
        <v/>
      </c>
      <c r="AL104" s="803" t="str">
        <f t="shared" si="68"/>
        <v/>
      </c>
      <c r="AM104" s="804" t="str">
        <f t="shared" si="69"/>
        <v/>
      </c>
      <c r="AN104" s="805" t="str">
        <f t="shared" si="70"/>
        <v/>
      </c>
      <c r="AO104" s="805" t="str">
        <f t="shared" si="71"/>
        <v/>
      </c>
      <c r="AP104" s="815" t="str">
        <f t="shared" si="72"/>
        <v/>
      </c>
      <c r="AQ104" s="820" t="str">
        <f t="shared" si="73"/>
        <v/>
      </c>
      <c r="AR104" s="821" t="str">
        <f t="shared" si="74"/>
        <v/>
      </c>
      <c r="AS104" s="821" t="str">
        <f t="shared" si="75"/>
        <v/>
      </c>
      <c r="AT104" s="821" t="str">
        <f t="shared" si="76"/>
        <v/>
      </c>
      <c r="AU104" s="833" t="str">
        <f t="shared" si="77"/>
        <v/>
      </c>
      <c r="AV104" s="843" t="str">
        <f t="shared" si="78"/>
        <v/>
      </c>
      <c r="AW104" s="844" t="str">
        <f t="shared" si="79"/>
        <v/>
      </c>
      <c r="AX104" s="844" t="str">
        <f t="shared" si="80"/>
        <v/>
      </c>
      <c r="AY104" s="844" t="str">
        <f t="shared" si="81"/>
        <v/>
      </c>
      <c r="AZ104" s="845" t="str">
        <f t="shared" si="82"/>
        <v/>
      </c>
      <c r="BA104" s="835" t="str">
        <f t="shared" si="83"/>
        <v/>
      </c>
      <c r="BB104" s="772"/>
      <c r="BC104" s="275" t="str">
        <f t="shared" si="84"/>
        <v/>
      </c>
      <c r="BD104" s="275" t="str">
        <f t="shared" si="85"/>
        <v/>
      </c>
      <c r="BE104" s="886" t="str">
        <f t="shared" si="86"/>
        <v/>
      </c>
      <c r="BF104" s="873" t="str" cm="1">
        <f t="array" ref="BF104">IF($AE104="","",
_xlfn.IFS(
$BA104="Devis 1",
IF(ISBLANK(AN104),"",IFERROR(VALUE(TRIM(SUBSTITUTE(AN104,CHAR(160),""))),0)*IFERROR(VALUE(TRIM(SUBSTITUTE($AE104,CHAR(160),""))),0)),
$BA104="Devis 2",
IF(ISBLANK(AS104),"",IFERROR(VALUE(TRIM(SUBSTITUTE(AS104,CHAR(160),""))),0)*IFERROR(VALUE(TRIM(SUBSTITUTE($AE104,CHAR(160),""))),0)),
$BA104="Devis 3",
IF(ISBLANK(AX104),"",IFERROR(VALUE(TRIM(SUBSTITUTE(AX104,CHAR(160),""))),0)*IFERROR(VALUE(TRIM(SUBSTITUTE($AE104,CHAR(160),""))),0)),
TRUE,0
)
)</f>
        <v/>
      </c>
      <c r="BG104" s="873" t="str" cm="1">
        <f t="array" ref="BG104">IF($AE104="","",
_xlfn.IFS(
$BA104="Devis 1",
IF(ISBLANK(AO104),"",IFERROR(VALUE(TRIM(SUBSTITUTE(AO104,CHAR(160),""))),0)*IFERROR(VALUE(TRIM(SUBSTITUTE($AE104,CHAR(160),""))),0)),
$BA104="Devis 2",
IF(ISBLANK(AT104),"",IFERROR(VALUE(TRIM(SUBSTITUTE(AT104,CHAR(160),""))),0)*IFERROR(VALUE(TRIM(SUBSTITUTE($AE104,CHAR(160),""))),0)),
$BA104="Devis 3",
IF(ISBLANK(AY104),"",IFERROR(VALUE(TRIM(SUBSTITUTE(AY104,CHAR(160),""))),0)*IFERROR(VALUE(TRIM(SUBSTITUTE($AE104,CHAR(160),""))),0)),
TRUE,0
)
)</f>
        <v/>
      </c>
      <c r="BH104" s="875" t="str">
        <f t="shared" si="87"/>
        <v/>
      </c>
      <c r="BI104" s="866"/>
      <c r="BJ104" s="774" t="str" cm="1">
        <f t="array" ref="BJ104">IF(OR(BH104="",BE104="",BF104="",BC104="",BG104="",BD104=""),"",_xlfn.IFS(
ROUND(IFERROR(VALUE(TRIM(SUBSTITUTE(BH104,CHAR(160),""))),0),2)&gt;
ROUND(IFERROR(VALUE(TRIM(SUBSTITUTE(BE104,CHAR(160),""))),0),2),
"KO : Le montant retenu TTC est supérieur au montant raisonnable TTC. Merci de revoir la ligne de dépense ou plafonner son montant.",
ROUND(IFERROR(VALUE(TRIM(SUBSTITUTE(BF104,CHAR(160),""))),0),2)&gt;
ROUND(IFERROR(VALUE(TRIM(SUBSTITUTE(BC104,CHAR(160),""))),0),2),
"Attention : Le montant retenu HT est supérieur au montant HT raisonnable. Merci de revoir la ligne de dépense, plafonner son montant, ou justifier la reventillation HT / TVA.",
ROUND(IFERROR(VALUE(TRIM(SUBSTITUTE(BG104,CHAR(160),""))),0),2)&gt;
ROUND(IFERROR(VALUE(TRIM(SUBSTITUTE(BD104,CHAR(160),""))),0),2),
"Attention : Le montant TVA retenu est supérieur au montant TVA raisonnable. Merci de revoir la ligne de dépense, plafonner son montant, ou justifier la reventillation HT / TVA.",
ROUND(IFERROR(VALUE(TRIM(SUBSTITUTE(BH104,CHAR(160),""))),0),2)&gt;
ROUND(IFERROR(VALUE(TRIM(SUBSTITUTE(MIN(N104,S104,X104),CHAR(160),""))),0),2),
"Attention : Le devis retenu n'est pas le moins cher. Une justification de la part du porteur est nécessaire.",
ROUND(IFERROR(VALUE(TRIM(SUBSTITUTE(BH104,CHAR(160),""))),0),2)=0,
"Attention : montant présenté entièrement écarté",
ROUND(IFERROR(VALUE(TRIM(SUBSTITUTE(BE104,CHAR(160),""))),0),2)=
ROUND(IFERROR(VALUE(TRIM(SUBSTITUTE(BH104,CHAR(160),""))),0),2),
"OK",
ROUND(IFERROR(VALUE(TRIM(SUBSTITUTE(BE104,CHAR(160),""))),0),2)&gt;
ROUND(IFERROR(VALUE(TRIM(SUBSTITUTE(BH104,CHAR(160),""))),0),2),
" OK : Montant instruit inférieur au montant raisonnable.",
TRUE,""
))</f>
        <v/>
      </c>
      <c r="BK104" s="774" t="str" cm="1">
        <f t="array" ref="BK104">IF(OR(BH104="",AB104="",BF104="",Z104="",BG104="",AA104=""),"",_xlfn.IFS(
ROUND(IFERROR(VALUE(TRIM(SUBSTITUTE(BH104,CHAR(160),""))),0),2)&gt;
ROUND(IFERROR(VALUE(TRIM(SUBSTITUTE(AB104,CHAR(160),""))),0),2),
"KO : Le montant retenu TTC est supérieur au montant présenté TTC. Merci de revoir la ligne de dépense ou plafonner son montant.",
ROUND(IFERROR(VALUE(TRIM(SUBSTITUTE(BF104,CHAR(160),""))),0),2)&gt;
ROUND(IFERROR(VALUE(TRIM(SUBSTITUTE(Z104,CHAR(160),""))),0),2),
"Attention : Le montant retenu HT est supérieur au montant HT présenté. Merci de revoir la ligne de dépense, plafonner son montant, ou justifier la reventillation HT / TVA.",
ROUND(IFERROR(VALUE(TRIM(SUBSTITUTE(BG104,CHAR(160),""))),0),2)&gt;
ROUND(IFERROR(VALUE(TRIM(SUBSTITUTE(AA104,CHAR(160),""))),0),2),
"Attention : Le montant TVA retenu est supérieur au montant TVA présenté. Merci de revoir la ligne de dépense, plafonner son montant, ou justifier la reventillation HT / TVA.",
ROUND(IFERROR(VALUE(TRIM(SUBSTITUTE(AB104,CHAR(160),""))),0),2)=0,
"",
ROUND(IFERROR(VALUE(TRIM(SUBSTITUTE(BH104,CHAR(160),""))),0),2)=
ROUND(IFERROR(VALUE(TRIM(SUBSTITUTE(AB104,CHAR(160),""))),0),2),
"OK",
ROUND(IFERROR(VALUE(TRIM(SUBSTITUTE(BH104,CHAR(160),""))),0),2)=0,
"Attention : Montant présenté entièrement rejeté.",
ROUND(IFERROR(VALUE(TRIM(SUBSTITUTE(BH104,CHAR(160),""))),0),2)&lt;
ROUND(IFERROR(VALUE(TRIM(SUBSTITUTE(AB104,CHAR(160),""))),0),2),
"Attention : Montant présenté partiellement rejeté.",
TRUE,""
))</f>
        <v/>
      </c>
      <c r="BL104" s="773" t="str">
        <f t="shared" si="88"/>
        <v/>
      </c>
      <c r="BM104" s="773" t="str">
        <f t="shared" si="89"/>
        <v/>
      </c>
      <c r="BN104" s="773" t="str">
        <f t="shared" si="90"/>
        <v/>
      </c>
    </row>
    <row r="105" spans="1:66" ht="15.95" thickBot="1">
      <c r="A105" s="956" t="s">
        <v>137</v>
      </c>
      <c r="B105" s="954"/>
      <c r="C105" s="954"/>
      <c r="D105" s="954"/>
      <c r="E105" s="954"/>
      <c r="F105" s="954"/>
      <c r="G105" s="954"/>
      <c r="H105" s="954"/>
      <c r="I105" s="954"/>
      <c r="J105" s="954"/>
      <c r="K105" s="954"/>
      <c r="L105" s="954"/>
      <c r="M105" s="954"/>
      <c r="N105" s="954"/>
      <c r="O105" s="954"/>
      <c r="P105" s="954"/>
      <c r="Q105" s="954"/>
      <c r="R105" s="954"/>
      <c r="S105" s="954"/>
      <c r="T105" s="954"/>
      <c r="U105" s="954"/>
      <c r="V105" s="954"/>
      <c r="W105" s="954"/>
      <c r="X105" s="954"/>
      <c r="Y105" s="957"/>
      <c r="Z105" s="202">
        <f>SUM(Z5:Z104)</f>
        <v>0</v>
      </c>
      <c r="AA105" s="202">
        <f>SUM(AA5:AA104)</f>
        <v>0</v>
      </c>
      <c r="AB105" s="202">
        <f>SUM(AB5:AB104)</f>
        <v>0</v>
      </c>
      <c r="AC105" s="210"/>
      <c r="AD105" s="203"/>
      <c r="AE105" s="953" t="s">
        <v>138</v>
      </c>
      <c r="AF105" s="954"/>
      <c r="AG105" s="954"/>
      <c r="AH105" s="954"/>
      <c r="AI105" s="954"/>
      <c r="AJ105" s="954" t="str">
        <f>IF(G105="","",G105)</f>
        <v/>
      </c>
      <c r="AK105" s="954"/>
      <c r="AL105" s="954"/>
      <c r="AM105" s="954"/>
      <c r="AN105" s="954"/>
      <c r="AO105" s="954"/>
      <c r="AP105" s="954"/>
      <c r="AQ105" s="954"/>
      <c r="AR105" s="954"/>
      <c r="AS105" s="954"/>
      <c r="AT105" s="954"/>
      <c r="AU105" s="954"/>
      <c r="AV105" s="954"/>
      <c r="AW105" s="954"/>
      <c r="AX105" s="954"/>
      <c r="AY105" s="954"/>
      <c r="AZ105" s="954"/>
      <c r="BA105" s="954"/>
      <c r="BB105" s="954"/>
      <c r="BC105" s="954"/>
      <c r="BD105" s="954"/>
      <c r="BE105" s="954"/>
      <c r="BF105" s="117">
        <f>SUM(BF5:BF104)</f>
        <v>0</v>
      </c>
      <c r="BG105" s="117">
        <f>SUM(BG5:BG104)</f>
        <v>0</v>
      </c>
      <c r="BH105" s="117">
        <f>SUM(BH5:BH104)</f>
        <v>0</v>
      </c>
      <c r="BI105" s="955"/>
      <c r="BJ105" s="955"/>
      <c r="BK105" s="142"/>
      <c r="BL105" s="141">
        <f>SUM(BL5:BL104)</f>
        <v>0</v>
      </c>
      <c r="BM105" s="141">
        <f>SUM(BM5:BM104)</f>
        <v>0</v>
      </c>
      <c r="BN105" s="141">
        <f>SUM(BN5:BN104)</f>
        <v>0</v>
      </c>
    </row>
  </sheetData>
  <sheetProtection formatCells="0" formatColumns="0" formatRows="0" insertRows="0"/>
  <mergeCells count="5">
    <mergeCell ref="A1:AC1"/>
    <mergeCell ref="AD1:BN1"/>
    <mergeCell ref="AE105:BE105"/>
    <mergeCell ref="BI105:BJ105"/>
    <mergeCell ref="A105:Y105"/>
  </mergeCells>
  <phoneticPr fontId="11" type="noConversion"/>
  <conditionalFormatting sqref="AD5:BA104">
    <cfRule type="expression" dxfId="58" priority="301" stopIfTrue="1">
      <formula>B5&lt;&gt;AD5</formula>
    </cfRule>
  </conditionalFormatting>
  <conditionalFormatting sqref="BB5:BB104">
    <cfRule type="containsText" dxfId="57" priority="8" operator="containsText" text="Non">
      <formula>NOT(ISERROR(SEARCH("Non",BB5)))</formula>
    </cfRule>
  </conditionalFormatting>
  <conditionalFormatting sqref="BJ4:BK104">
    <cfRule type="containsText" dxfId="56" priority="10" operator="containsText" text="OK">
      <formula>NOT(ISERROR(SEARCH("OK",BJ4)))</formula>
    </cfRule>
    <cfRule type="containsText" dxfId="55" priority="11" operator="containsText" text="KO">
      <formula>NOT(ISERROR(SEARCH("KO",BJ4)))</formula>
    </cfRule>
    <cfRule type="containsText" dxfId="54" priority="12" operator="containsText" text="Attention">
      <formula>NOT(ISERROR(SEARCH("Attention",BJ4)))</formula>
    </cfRule>
  </conditionalFormatting>
  <dataValidations count="5">
    <dataValidation type="list" allowBlank="1" showInputMessage="1" showErrorMessage="1" sqref="BB4:BB104" xr:uid="{3826055F-3738-43D9-A20E-2CB36268E9C3}">
      <formula1>"Oui,Non,Sans objet"</formula1>
    </dataValidation>
    <dataValidation type="list" allowBlank="1" showInputMessage="1" showErrorMessage="1" sqref="Y4:Y104" xr:uid="{2E2BC657-2F3A-4291-A336-591DBE67A654}">
      <formula1>"Devis 1,Devis 2,Devis 3"</formula1>
    </dataValidation>
    <dataValidation type="list" allowBlank="1" showInputMessage="1" showErrorMessage="1" sqref="E4" xr:uid="{BF629C6E-D74C-4D08-B1E7-8AF72543D33B}">
      <formula1>"Oui,Non"</formula1>
    </dataValidation>
    <dataValidation type="list" allowBlank="1" showInputMessage="1" showErrorMessage="1" sqref="G5:G104 H6:H7" xr:uid="{32E6C0A3-2743-4BF5-A811-CF345AF7A7C8}">
      <formula1>"Pas de marché public,Marché à procédureadaptée (MAPA),Marché innovant,Marché à procédure formalisée"</formula1>
    </dataValidation>
    <dataValidation type="list" allowBlank="1" showInputMessage="1" showErrorMessage="1" sqref="H8:H104 H4:H5 AJ4 AJ105" xr:uid="{07115989-518C-44C7-8A38-3CADD34894E5}">
      <formula1>"Oui,Non,Non concerné"</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xr:uid="{03E055ED-E95A-47B9-A2C8-DB2822694A98}">
          <x14:formula1>
            <xm:f>'0-Présentation typeaction'!$H$4:$H$12</xm:f>
          </x14:formula1>
          <xm:sqref>D4:D104</xm:sqref>
        </x14:dataValidation>
        <x14:dataValidation type="list" allowBlank="1" showInputMessage="1" showErrorMessage="1" xr:uid="{74467615-2C2A-2244-9856-6CD9DF5E1D06}">
          <x14:formula1>
            <xm:f>'0-Présentation typeaction'!$H$4:$H$12</xm:f>
          </x14:formula1>
          <xm:sqref>AF5:AF104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7EFFA-3C04-4C45-AF01-AA3603D5F6D3}">
  <sheetPr>
    <pageSetUpPr fitToPage="1"/>
  </sheetPr>
  <dimension ref="A1:W105"/>
  <sheetViews>
    <sheetView showGridLines="0" topLeftCell="C1" zoomScale="50" zoomScaleNormal="70" workbookViewId="0">
      <selection activeCell="H30" sqref="H30"/>
    </sheetView>
  </sheetViews>
  <sheetFormatPr defaultColWidth="11.42578125" defaultRowHeight="15" outlineLevelCol="1"/>
  <cols>
    <col min="1" max="1" width="11" bestFit="1" customWidth="1"/>
    <col min="2" max="2" width="27.42578125" bestFit="1" customWidth="1"/>
    <col min="3" max="3" width="29.42578125" bestFit="1" customWidth="1"/>
    <col min="4" max="4" width="27.42578125" style="115" bestFit="1" customWidth="1"/>
    <col min="5" max="7" width="19.42578125" bestFit="1" customWidth="1"/>
    <col min="8" max="8" width="20.140625" bestFit="1" customWidth="1"/>
    <col min="9" max="9" width="17.42578125" bestFit="1" customWidth="1"/>
    <col min="10" max="10" width="19.85546875" bestFit="1" customWidth="1"/>
    <col min="11" max="11" width="19.85546875" customWidth="1" outlineLevel="1"/>
    <col min="12" max="12" width="29.42578125" customWidth="1" outlineLevel="1"/>
    <col min="13" max="15" width="20.42578125" customWidth="1" outlineLevel="1"/>
    <col min="16" max="17" width="19.140625" customWidth="1" outlineLevel="1"/>
    <col min="18" max="18" width="19.42578125" customWidth="1" outlineLevel="1"/>
    <col min="19" max="20" width="32.42578125" customWidth="1" outlineLevel="1"/>
    <col min="21" max="21" width="28" customWidth="1" outlineLevel="1"/>
    <col min="22" max="22" width="19.85546875" customWidth="1" outlineLevel="1"/>
  </cols>
  <sheetData>
    <row r="1" spans="1:23" ht="88.5" customHeight="1" thickBot="1">
      <c r="A1" s="958" t="s">
        <v>155</v>
      </c>
      <c r="B1" s="959"/>
      <c r="C1" s="959"/>
      <c r="D1" s="959"/>
      <c r="E1" s="959"/>
      <c r="F1" s="959"/>
      <c r="G1" s="959"/>
      <c r="H1" s="959"/>
      <c r="I1" s="959"/>
      <c r="J1" s="960"/>
      <c r="K1" s="962" t="s">
        <v>156</v>
      </c>
      <c r="L1" s="963"/>
      <c r="M1" s="963"/>
      <c r="N1" s="963"/>
      <c r="O1" s="963"/>
      <c r="P1" s="963"/>
      <c r="Q1" s="963"/>
      <c r="R1" s="963"/>
      <c r="S1" s="963"/>
      <c r="T1" s="963"/>
      <c r="U1" s="963"/>
      <c r="V1" s="964"/>
      <c r="W1" s="78"/>
    </row>
    <row r="2" spans="1:23" s="78" customFormat="1" ht="69.95" customHeight="1">
      <c r="A2" s="961" t="s">
        <v>51</v>
      </c>
      <c r="B2" s="41" t="s">
        <v>52</v>
      </c>
      <c r="C2" s="73" t="s">
        <v>55</v>
      </c>
      <c r="D2" s="41" t="s">
        <v>157</v>
      </c>
      <c r="E2" s="41" t="s">
        <v>158</v>
      </c>
      <c r="F2" s="41" t="s">
        <v>159</v>
      </c>
      <c r="G2" s="41" t="s">
        <v>160</v>
      </c>
      <c r="H2" s="41" t="s">
        <v>161</v>
      </c>
      <c r="I2" s="41" t="s">
        <v>162</v>
      </c>
      <c r="J2" s="171" t="s">
        <v>80</v>
      </c>
      <c r="K2" s="182" t="s">
        <v>52</v>
      </c>
      <c r="L2" s="31" t="s">
        <v>55</v>
      </c>
      <c r="M2" s="31" t="s">
        <v>157</v>
      </c>
      <c r="N2" s="31" t="s">
        <v>158</v>
      </c>
      <c r="O2" s="31" t="s">
        <v>159</v>
      </c>
      <c r="P2" s="31" t="s">
        <v>160</v>
      </c>
      <c r="Q2" s="31" t="s">
        <v>161</v>
      </c>
      <c r="R2" s="31" t="s">
        <v>163</v>
      </c>
      <c r="S2" s="31" t="s">
        <v>164</v>
      </c>
      <c r="T2" s="31" t="s">
        <v>91</v>
      </c>
      <c r="U2" s="31" t="s">
        <v>93</v>
      </c>
      <c r="V2" s="31" t="s">
        <v>165</v>
      </c>
    </row>
    <row r="3" spans="1:23" s="1" customFormat="1" ht="195" customHeight="1">
      <c r="A3" s="912"/>
      <c r="B3" s="21" t="s">
        <v>166</v>
      </c>
      <c r="C3" s="133" t="s">
        <v>167</v>
      </c>
      <c r="D3" s="22" t="s">
        <v>168</v>
      </c>
      <c r="E3" s="22" t="s">
        <v>169</v>
      </c>
      <c r="F3" s="22" t="s">
        <v>170</v>
      </c>
      <c r="G3" s="22" t="s">
        <v>171</v>
      </c>
      <c r="H3" s="22" t="s">
        <v>172</v>
      </c>
      <c r="I3" s="22" t="s">
        <v>173</v>
      </c>
      <c r="J3" s="172" t="s">
        <v>117</v>
      </c>
      <c r="K3" s="189" t="s">
        <v>118</v>
      </c>
      <c r="L3" s="4" t="s">
        <v>116</v>
      </c>
      <c r="M3" s="4" t="s">
        <v>121</v>
      </c>
      <c r="N3" s="4" t="s">
        <v>121</v>
      </c>
      <c r="O3" s="4" t="s">
        <v>121</v>
      </c>
      <c r="P3" s="4" t="s">
        <v>121</v>
      </c>
      <c r="Q3" s="4" t="s">
        <v>121</v>
      </c>
      <c r="R3" s="4" t="s">
        <v>174</v>
      </c>
      <c r="S3" s="4" t="s">
        <v>121</v>
      </c>
      <c r="T3" s="4" t="s">
        <v>175</v>
      </c>
      <c r="U3" s="4" t="s">
        <v>125</v>
      </c>
      <c r="V3" s="4" t="s">
        <v>116</v>
      </c>
    </row>
    <row r="4" spans="1:23" s="1" customFormat="1" ht="63.95">
      <c r="A4" s="173" t="s">
        <v>41</v>
      </c>
      <c r="B4" s="88" t="s">
        <v>176</v>
      </c>
      <c r="C4" s="138" t="s">
        <v>35</v>
      </c>
      <c r="D4" s="137" t="s">
        <v>176</v>
      </c>
      <c r="E4" s="143">
        <v>0.05</v>
      </c>
      <c r="F4" s="137" t="s">
        <v>177</v>
      </c>
      <c r="G4" s="144">
        <v>1000</v>
      </c>
      <c r="H4" s="137" t="s">
        <v>178</v>
      </c>
      <c r="I4" s="144">
        <f t="shared" ref="I4:I8" si="0">IF(OR(G4="",E4=""),"",IF((IFERROR(VALUE(TRIM(SUBSTITUTE(G4,CHAR(160),""))),0))*(IFERROR(VALUE(TRIM(SUBSTITUTE(E4,CHAR(160),""))),0))=0,"",(IFERROR(VALUE(TRIM(SUBSTITUTE(G4,CHAR(160),""))),0))*(IFERROR(VALUE(TRIM(SUBSTITUTE(E4,CHAR(160),""))),0))))</f>
        <v>50</v>
      </c>
      <c r="J4" s="196"/>
      <c r="K4" s="194" t="str">
        <f>IF(B4="","",B4)</f>
        <v>Hangar</v>
      </c>
      <c r="L4" s="102" t="str">
        <f t="shared" ref="L4:L5" si="1">IF(C4="","",C4)</f>
        <v>Transformation / Commercialisation</v>
      </c>
      <c r="M4" s="102" t="str">
        <f t="shared" ref="M4:M5" si="2">IF(D4="","",D4)</f>
        <v>Hangar</v>
      </c>
      <c r="N4" s="99">
        <f t="shared" ref="N4:N5" si="3">IF(E4="","",E4)</f>
        <v>0.05</v>
      </c>
      <c r="O4" s="102" t="str">
        <f t="shared" ref="O4:O5" si="4">IF(F4="","",F4)</f>
        <v>Attestation d'affectation du bien à l'opération</v>
      </c>
      <c r="P4" s="102">
        <f t="shared" ref="P4:P5" si="5">IF(G4="","",G4)</f>
        <v>1000</v>
      </c>
      <c r="Q4" s="102" t="str">
        <f t="shared" ref="Q4:Q5" si="6">IF(H4="","",H4)</f>
        <v>Estimation de la valeur locative du bien par un expert indépendant habilité</v>
      </c>
      <c r="R4" s="5"/>
      <c r="S4" s="881">
        <f t="shared" ref="S4:S35" si="7">IF(OR(N4="",P4=""),"",IF(IFERROR(VALUE(TRIM(SUBSTITUTE(N4,CHAR(160),""))),0)*IFERROR(VALUE(TRIM(SUBSTITUTE(P4,CHAR(160),""))),0)=0,"",IFERROR(VALUE(TRIM(SUBSTITUTE(N4,CHAR(160),""))),0)*IFERROR(VALUE(TRIM(SUBSTITUTE(P4,CHAR(160),""))),0)))</f>
        <v>50</v>
      </c>
      <c r="T4" s="5"/>
      <c r="U4" s="6" t="str" cm="1">
        <f t="array" ref="U4">IF(OR(S4="",I4=""),"",_xlfn.IFS((IFERROR(VALUE(TRIM(SUBSTITUTE(S4,CHAR(160),""))),0))&gt;(IFERROR(VALUE(TRIM(SUBSTITUTE(I4,CHAR(160),""))),0)),"KO : Le montant retenu est supérieur au montant présenté. Merci de revoir la ligne de contribution ou plafonner son montant.",(IFERROR(VALUE(TRIM(SUBSTITUTE(I4,CHAR(160),""))),0))=0,"",(IFERROR(VALUE(TRIM(SUBSTITUTE(S4,CHAR(160),""))),0))=(IFERROR(VALUE(TRIM(SUBSTITUTE(I4,CHAR(160),""))),0)),"OK",(IFERROR(VALUE(TRIM(SUBSTITUTE(S4,CHAR(160),""))),0))&lt;(IFERROR(VALUE(TRIM(SUBSTITUTE(I4,CHAR(160),""))),0)),"Montant instruit inférieur au montant présenté.",TRUE,""))</f>
        <v>OK</v>
      </c>
      <c r="V4" s="102">
        <f t="shared" ref="V4:V35" si="8">IF(OR(I4="",S4=""),"",(IFERROR(VALUE(TRIM(SUBSTITUTE(I4,CHAR(160),""))),0))-(IFERROR(VALUE(TRIM(SUBSTITUTE(S4,CHAR(160),""))),0)))</f>
        <v>0</v>
      </c>
    </row>
    <row r="5" spans="1:23" s="1" customFormat="1" ht="36" customHeight="1">
      <c r="A5" s="197">
        <v>1</v>
      </c>
      <c r="B5" s="37"/>
      <c r="C5" s="7"/>
      <c r="D5" s="37"/>
      <c r="E5" s="17"/>
      <c r="F5" s="38"/>
      <c r="G5" s="656"/>
      <c r="H5" s="7"/>
      <c r="I5" s="307" t="str">
        <f>IF(OR(G5="",E5=""),"",IF((IFERROR(VALUE(TRIM(SUBSTITUTE(G5,CHAR(160),""))),0))*(IFERROR(VALUE(TRIM(SUBSTITUTE(E5,CHAR(160),""))),0))=0,"",(IFERROR(VALUE(TRIM(SUBSTITUTE(G5,CHAR(160),""))),0))*(IFERROR(VALUE(TRIM(SUBSTITUTE(E5,CHAR(160),""))),0))))</f>
        <v/>
      </c>
      <c r="J5" s="176"/>
      <c r="K5" s="195" t="str">
        <f t="shared" ref="K5" si="9">IF(B5="","",B5)</f>
        <v/>
      </c>
      <c r="L5" s="32" t="str">
        <f t="shared" si="1"/>
        <v/>
      </c>
      <c r="M5" s="32" t="str">
        <f t="shared" si="2"/>
        <v/>
      </c>
      <c r="N5" s="110" t="str">
        <f t="shared" si="3"/>
        <v/>
      </c>
      <c r="O5" s="32" t="str">
        <f t="shared" si="4"/>
        <v/>
      </c>
      <c r="P5" s="32" t="str">
        <f t="shared" si="5"/>
        <v/>
      </c>
      <c r="Q5" s="32" t="str">
        <f t="shared" si="6"/>
        <v/>
      </c>
      <c r="R5" s="603"/>
      <c r="S5" s="281" t="str">
        <f t="shared" si="7"/>
        <v/>
      </c>
      <c r="T5" s="7"/>
      <c r="U5" s="23" t="str" cm="1">
        <f t="array" ref="U5">IF(OR(S5="",I5=""),"",_xlfn.IFS(
ROUND(IFERROR(VALUE(TRIM(SUBSTITUTE(S5,CHAR(160),""))),0),2)&gt;
ROUND(IFERROR(VALUE(TRIM(SUBSTITUTE(I5,CHAR(160),""))),0),2),
"KO : Le montant retenu est supérieur au montant présenté. Merci de revoir la ligne de contribution ou plafonner son montant.",
ROUND(IFERROR(VALUE(TRIM(SUBSTITUTE(I5,CHAR(160),""))),0),2)=0,
"",
ROUND(IFERROR(VALUE(TRIM(SUBSTITUTE(S5,CHAR(160),""))),0),2)=
ROUND(IFERROR(VALUE(TRIM(SUBSTITUTE(I5,CHAR(160),""))),0),2),
"OK",
ROUND(IFERROR(VALUE(TRIM(SUBSTITUTE(S5,CHAR(160),""))),0),2)=0,
"Attention : Montant présenté entièrement rejeté.",
ROUND(IFERROR(VALUE(TRIM(SUBSTITUTE(S5,CHAR(160),""))),0),2)&lt;
ROUND(IFERROR(VALUE(TRIM(SUBSTITUTE(I5,CHAR(160),""))),0),2),
"Attention : Montant présenté partiellement rejeté.",
TRUE,""
))</f>
        <v/>
      </c>
      <c r="V5" s="32" t="str">
        <f t="shared" si="8"/>
        <v/>
      </c>
      <c r="W5" s="3"/>
    </row>
    <row r="6" spans="1:23" s="1" customFormat="1" ht="15" customHeight="1">
      <c r="A6" s="197">
        <v>2</v>
      </c>
      <c r="B6" s="37"/>
      <c r="C6" s="7"/>
      <c r="D6" s="38"/>
      <c r="E6" s="17"/>
      <c r="F6" s="38"/>
      <c r="G6" s="16"/>
      <c r="H6" s="38"/>
      <c r="I6" s="274" t="str">
        <f t="shared" si="0"/>
        <v/>
      </c>
      <c r="J6" s="176"/>
      <c r="K6" s="195" t="str">
        <f t="shared" ref="K6:K69" si="10">IF(B6="","",B6)</f>
        <v/>
      </c>
      <c r="L6" s="32" t="str">
        <f t="shared" ref="L6:L69" si="11">IF(C6="","",C6)</f>
        <v/>
      </c>
      <c r="M6" s="32" t="str">
        <f t="shared" ref="M6:M69" si="12">IF(D6="","",D6)</f>
        <v/>
      </c>
      <c r="N6" s="110" t="str">
        <f t="shared" ref="N6:N69" si="13">IF(E6="","",E6)</f>
        <v/>
      </c>
      <c r="O6" s="32" t="str">
        <f t="shared" ref="O6:O69" si="14">IF(F6="","",F6)</f>
        <v/>
      </c>
      <c r="P6" s="32" t="str">
        <f t="shared" ref="P6:P69" si="15">IF(G6="","",G6)</f>
        <v/>
      </c>
      <c r="Q6" s="32" t="str">
        <f t="shared" ref="Q6:Q69" si="16">IF(H6="","",H6)</f>
        <v/>
      </c>
      <c r="R6" s="603"/>
      <c r="S6" s="281" t="str">
        <f t="shared" si="7"/>
        <v/>
      </c>
      <c r="T6" s="7"/>
      <c r="U6" s="23" t="str" cm="1">
        <f t="array" ref="U6">IF(OR(S6="",I6=""),"",_xlfn.IFS(
ROUND(IFERROR(VALUE(TRIM(SUBSTITUTE(S6,CHAR(160),""))),0),2)&gt;
ROUND(IFERROR(VALUE(TRIM(SUBSTITUTE(I6,CHAR(160),""))),0),2),
"KO : Le montant retenu est supérieur au montant présenté. Merci de revoir la ligne de contribution ou plafonner son montant.",
ROUND(IFERROR(VALUE(TRIM(SUBSTITUTE(I6,CHAR(160),""))),0),2)=0,
"",
ROUND(IFERROR(VALUE(TRIM(SUBSTITUTE(S6,CHAR(160),""))),0),2)=
ROUND(IFERROR(VALUE(TRIM(SUBSTITUTE(I6,CHAR(160),""))),0),2),
"OK",
ROUND(IFERROR(VALUE(TRIM(SUBSTITUTE(S6,CHAR(160),""))),0),2)=0,
"Attention : Montant présenté entièrement rejeté.",
ROUND(IFERROR(VALUE(TRIM(SUBSTITUTE(S6,CHAR(160),""))),0),2)&lt;
ROUND(IFERROR(VALUE(TRIM(SUBSTITUTE(I6,CHAR(160),""))),0),2),
"Attention : Montant présenté partiellement rejeté.",
TRUE,""
))</f>
        <v/>
      </c>
      <c r="V6" s="32" t="str">
        <f t="shared" si="8"/>
        <v/>
      </c>
      <c r="W6" s="3"/>
    </row>
    <row r="7" spans="1:23" ht="15" customHeight="1">
      <c r="A7" s="198">
        <v>3</v>
      </c>
      <c r="B7" s="37"/>
      <c r="C7" s="7"/>
      <c r="D7" s="38"/>
      <c r="E7" s="17"/>
      <c r="F7" s="38"/>
      <c r="G7" s="16"/>
      <c r="H7" s="38"/>
      <c r="I7" s="274" t="str">
        <f t="shared" si="0"/>
        <v/>
      </c>
      <c r="J7" s="176"/>
      <c r="K7" s="195" t="str">
        <f t="shared" si="10"/>
        <v/>
      </c>
      <c r="L7" s="32" t="str">
        <f t="shared" si="11"/>
        <v/>
      </c>
      <c r="M7" s="32" t="str">
        <f t="shared" si="12"/>
        <v/>
      </c>
      <c r="N7" s="110" t="str">
        <f t="shared" si="13"/>
        <v/>
      </c>
      <c r="O7" s="32" t="str">
        <f t="shared" si="14"/>
        <v/>
      </c>
      <c r="P7" s="32" t="str">
        <f t="shared" si="15"/>
        <v/>
      </c>
      <c r="Q7" s="32" t="str">
        <f t="shared" si="16"/>
        <v/>
      </c>
      <c r="R7" s="603"/>
      <c r="S7" s="281" t="str">
        <f t="shared" si="7"/>
        <v/>
      </c>
      <c r="T7" s="7"/>
      <c r="U7" s="23" t="str" cm="1">
        <f t="array" ref="U7">IF(OR(S7="",I7=""),"",_xlfn.IFS(
ROUND(IFERROR(VALUE(TRIM(SUBSTITUTE(S7,CHAR(160),""))),0),2)&gt;
ROUND(IFERROR(VALUE(TRIM(SUBSTITUTE(I7,CHAR(160),""))),0),2),
"KO : Le montant retenu est supérieur au montant présenté. Merci de revoir la ligne de contribution ou plafonner son montant.",
ROUND(IFERROR(VALUE(TRIM(SUBSTITUTE(I7,CHAR(160),""))),0),2)=0,
"",
ROUND(IFERROR(VALUE(TRIM(SUBSTITUTE(S7,CHAR(160),""))),0),2)=
ROUND(IFERROR(VALUE(TRIM(SUBSTITUTE(I7,CHAR(160),""))),0),2),
"OK",
ROUND(IFERROR(VALUE(TRIM(SUBSTITUTE(S7,CHAR(160),""))),0),2)=0,
"Attention : Montant présenté entièrement rejeté.",
ROUND(IFERROR(VALUE(TRIM(SUBSTITUTE(S7,CHAR(160),""))),0),2)&lt;
ROUND(IFERROR(VALUE(TRIM(SUBSTITUTE(I7,CHAR(160),""))),0),2),
"Attention : Montant présenté partiellement rejeté.",
TRUE,""
))</f>
        <v/>
      </c>
      <c r="V7" s="32" t="str">
        <f t="shared" si="8"/>
        <v/>
      </c>
      <c r="W7" s="115"/>
    </row>
    <row r="8" spans="1:23" ht="15" customHeight="1">
      <c r="A8" s="198">
        <v>4</v>
      </c>
      <c r="B8" s="37"/>
      <c r="C8" s="7"/>
      <c r="D8" s="38"/>
      <c r="E8" s="17"/>
      <c r="F8" s="38"/>
      <c r="G8" s="16"/>
      <c r="H8" s="38"/>
      <c r="I8" s="274" t="str">
        <f t="shared" si="0"/>
        <v/>
      </c>
      <c r="J8" s="176"/>
      <c r="K8" s="195" t="str">
        <f t="shared" si="10"/>
        <v/>
      </c>
      <c r="L8" s="32" t="str">
        <f t="shared" si="11"/>
        <v/>
      </c>
      <c r="M8" s="32" t="str">
        <f t="shared" si="12"/>
        <v/>
      </c>
      <c r="N8" s="110" t="str">
        <f t="shared" si="13"/>
        <v/>
      </c>
      <c r="O8" s="32" t="str">
        <f t="shared" si="14"/>
        <v/>
      </c>
      <c r="P8" s="32" t="str">
        <f t="shared" si="15"/>
        <v/>
      </c>
      <c r="Q8" s="32" t="str">
        <f t="shared" si="16"/>
        <v/>
      </c>
      <c r="R8" s="603"/>
      <c r="S8" s="281" t="str">
        <f t="shared" si="7"/>
        <v/>
      </c>
      <c r="T8" s="7"/>
      <c r="U8" s="23" t="str" cm="1">
        <f t="array" ref="U8">IF(OR(S8="",I8=""),"",_xlfn.IFS(
ROUND(IFERROR(VALUE(TRIM(SUBSTITUTE(S8,CHAR(160),""))),0),2)&gt;
ROUND(IFERROR(VALUE(TRIM(SUBSTITUTE(I8,CHAR(160),""))),0),2),
"KO : Le montant retenu est supérieur au montant présenté. Merci de revoir la ligne de contribution ou plafonner son montant.",
ROUND(IFERROR(VALUE(TRIM(SUBSTITUTE(I8,CHAR(160),""))),0),2)=0,
"",
ROUND(IFERROR(VALUE(TRIM(SUBSTITUTE(S8,CHAR(160),""))),0),2)=
ROUND(IFERROR(VALUE(TRIM(SUBSTITUTE(I8,CHAR(160),""))),0),2),
"OK",
ROUND(IFERROR(VALUE(TRIM(SUBSTITUTE(S8,CHAR(160),""))),0),2)=0,
"Attention : Montant présenté entièrement rejeté.",
ROUND(IFERROR(VALUE(TRIM(SUBSTITUTE(S8,CHAR(160),""))),0),2)&lt;
ROUND(IFERROR(VALUE(TRIM(SUBSTITUTE(I8,CHAR(160),""))),0),2),
"Attention : Montant présenté partiellement rejeté.",
TRUE,""
))</f>
        <v/>
      </c>
      <c r="V8" s="32" t="str">
        <f t="shared" si="8"/>
        <v/>
      </c>
      <c r="W8" s="115"/>
    </row>
    <row r="9" spans="1:23" ht="15" customHeight="1">
      <c r="A9" s="198">
        <v>5</v>
      </c>
      <c r="B9" s="37"/>
      <c r="C9" s="7"/>
      <c r="D9" s="38"/>
      <c r="E9" s="17"/>
      <c r="F9" s="38"/>
      <c r="G9" s="16"/>
      <c r="H9" s="38"/>
      <c r="I9" s="274" t="str">
        <f t="shared" ref="I9:I69" si="17">IF(OR(G9="",E9=""),"",IF((IFERROR(VALUE(TRIM(SUBSTITUTE(G9,CHAR(160),""))),0))*(IFERROR(VALUE(TRIM(SUBSTITUTE(E9,CHAR(160),""))),0))=0,"",(IFERROR(VALUE(TRIM(SUBSTITUTE(G9,CHAR(160),""))),0))*(IFERROR(VALUE(TRIM(SUBSTITUTE(E9,CHAR(160),""))),0))))</f>
        <v/>
      </c>
      <c r="J9" s="176"/>
      <c r="K9" s="195" t="str">
        <f t="shared" si="10"/>
        <v/>
      </c>
      <c r="L9" s="32" t="str">
        <f t="shared" si="11"/>
        <v/>
      </c>
      <c r="M9" s="32" t="str">
        <f t="shared" si="12"/>
        <v/>
      </c>
      <c r="N9" s="110" t="str">
        <f t="shared" si="13"/>
        <v/>
      </c>
      <c r="O9" s="32" t="str">
        <f t="shared" si="14"/>
        <v/>
      </c>
      <c r="P9" s="32" t="str">
        <f t="shared" si="15"/>
        <v/>
      </c>
      <c r="Q9" s="32" t="str">
        <f t="shared" si="16"/>
        <v/>
      </c>
      <c r="R9" s="603"/>
      <c r="S9" s="281" t="str">
        <f t="shared" si="7"/>
        <v/>
      </c>
      <c r="T9" s="7"/>
      <c r="U9" s="23" t="str" cm="1">
        <f t="array" ref="U9">IF(OR(S9="",I9=""),"",_xlfn.IFS(
ROUND(IFERROR(VALUE(TRIM(SUBSTITUTE(S9,CHAR(160),""))),0),2)&gt;
ROUND(IFERROR(VALUE(TRIM(SUBSTITUTE(I9,CHAR(160),""))),0),2),
"KO : Le montant retenu est supérieur au montant présenté. Merci de revoir la ligne de contribution ou plafonner son montant.",
ROUND(IFERROR(VALUE(TRIM(SUBSTITUTE(I9,CHAR(160),""))),0),2)=0,
"",
ROUND(IFERROR(VALUE(TRIM(SUBSTITUTE(S9,CHAR(160),""))),0),2)=
ROUND(IFERROR(VALUE(TRIM(SUBSTITUTE(I9,CHAR(160),""))),0),2),
"OK",
ROUND(IFERROR(VALUE(TRIM(SUBSTITUTE(S9,CHAR(160),""))),0),2)=0,
"Attention : Montant présenté entièrement rejeté.",
ROUND(IFERROR(VALUE(TRIM(SUBSTITUTE(S9,CHAR(160),""))),0),2)&lt;
ROUND(IFERROR(VALUE(TRIM(SUBSTITUTE(I9,CHAR(160),""))),0),2),
"Attention : Montant présenté partiellement rejeté.",
TRUE,""
))</f>
        <v/>
      </c>
      <c r="V9" s="32" t="str">
        <f t="shared" si="8"/>
        <v/>
      </c>
      <c r="W9" s="115"/>
    </row>
    <row r="10" spans="1:23" ht="15" customHeight="1">
      <c r="A10" s="198">
        <v>6</v>
      </c>
      <c r="B10" s="37"/>
      <c r="C10" s="7"/>
      <c r="D10" s="38"/>
      <c r="E10" s="17"/>
      <c r="F10" s="38"/>
      <c r="G10" s="16"/>
      <c r="H10" s="38"/>
      <c r="I10" s="274" t="str">
        <f t="shared" si="17"/>
        <v/>
      </c>
      <c r="J10" s="176"/>
      <c r="K10" s="195" t="str">
        <f t="shared" si="10"/>
        <v/>
      </c>
      <c r="L10" s="32" t="str">
        <f t="shared" si="11"/>
        <v/>
      </c>
      <c r="M10" s="32" t="str">
        <f t="shared" si="12"/>
        <v/>
      </c>
      <c r="N10" s="110" t="str">
        <f t="shared" si="13"/>
        <v/>
      </c>
      <c r="O10" s="32" t="str">
        <f t="shared" si="14"/>
        <v/>
      </c>
      <c r="P10" s="32" t="str">
        <f t="shared" si="15"/>
        <v/>
      </c>
      <c r="Q10" s="32" t="str">
        <f t="shared" si="16"/>
        <v/>
      </c>
      <c r="R10" s="603"/>
      <c r="S10" s="281" t="str">
        <f t="shared" si="7"/>
        <v/>
      </c>
      <c r="T10" s="7"/>
      <c r="U10" s="23" t="str" cm="1">
        <f t="array" ref="U10">IF(OR(S10="",I10=""),"",_xlfn.IFS(
ROUND(IFERROR(VALUE(TRIM(SUBSTITUTE(S10,CHAR(160),""))),0),2)&gt;
ROUND(IFERROR(VALUE(TRIM(SUBSTITUTE(I10,CHAR(160),""))),0),2),
"KO : Le montant retenu est supérieur au montant présenté. Merci de revoir la ligne de contribution ou plafonner son montant.",
ROUND(IFERROR(VALUE(TRIM(SUBSTITUTE(I10,CHAR(160),""))),0),2)=0,
"",
ROUND(IFERROR(VALUE(TRIM(SUBSTITUTE(S10,CHAR(160),""))),0),2)=
ROUND(IFERROR(VALUE(TRIM(SUBSTITUTE(I10,CHAR(160),""))),0),2),
"OK",
ROUND(IFERROR(VALUE(TRIM(SUBSTITUTE(S10,CHAR(160),""))),0),2)=0,
"Attention : Montant présenté entièrement rejeté.",
ROUND(IFERROR(VALUE(TRIM(SUBSTITUTE(S10,CHAR(160),""))),0),2)&lt;
ROUND(IFERROR(VALUE(TRIM(SUBSTITUTE(I10,CHAR(160),""))),0),2),
"Attention : Montant présenté partiellement rejeté.",
TRUE,""
))</f>
        <v/>
      </c>
      <c r="V10" s="32" t="str">
        <f t="shared" si="8"/>
        <v/>
      </c>
      <c r="W10" s="115"/>
    </row>
    <row r="11" spans="1:23" ht="15" customHeight="1">
      <c r="A11" s="198">
        <v>7</v>
      </c>
      <c r="B11" s="37"/>
      <c r="C11" s="7"/>
      <c r="D11" s="38"/>
      <c r="E11" s="17"/>
      <c r="F11" s="38"/>
      <c r="G11" s="16"/>
      <c r="H11" s="38"/>
      <c r="I11" s="274" t="str">
        <f t="shared" si="17"/>
        <v/>
      </c>
      <c r="J11" s="176"/>
      <c r="K11" s="195" t="str">
        <f t="shared" si="10"/>
        <v/>
      </c>
      <c r="L11" s="32" t="str">
        <f t="shared" si="11"/>
        <v/>
      </c>
      <c r="M11" s="32" t="str">
        <f t="shared" si="12"/>
        <v/>
      </c>
      <c r="N11" s="110" t="str">
        <f t="shared" si="13"/>
        <v/>
      </c>
      <c r="O11" s="32" t="str">
        <f t="shared" si="14"/>
        <v/>
      </c>
      <c r="P11" s="32" t="str">
        <f t="shared" si="15"/>
        <v/>
      </c>
      <c r="Q11" s="32" t="str">
        <f t="shared" si="16"/>
        <v/>
      </c>
      <c r="R11" s="603"/>
      <c r="S11" s="281" t="str">
        <f t="shared" si="7"/>
        <v/>
      </c>
      <c r="T11" s="7"/>
      <c r="U11" s="23" t="str" cm="1">
        <f t="array" ref="U11">IF(OR(S11="",I11=""),"",_xlfn.IFS(
ROUND(IFERROR(VALUE(TRIM(SUBSTITUTE(S11,CHAR(160),""))),0),2)&gt;
ROUND(IFERROR(VALUE(TRIM(SUBSTITUTE(I11,CHAR(160),""))),0),2),
"KO : Le montant retenu est supérieur au montant présenté. Merci de revoir la ligne de contribution ou plafonner son montant.",
ROUND(IFERROR(VALUE(TRIM(SUBSTITUTE(I11,CHAR(160),""))),0),2)=0,
"",
ROUND(IFERROR(VALUE(TRIM(SUBSTITUTE(S11,CHAR(160),""))),0),2)=
ROUND(IFERROR(VALUE(TRIM(SUBSTITUTE(I11,CHAR(160),""))),0),2),
"OK",
ROUND(IFERROR(VALUE(TRIM(SUBSTITUTE(S11,CHAR(160),""))),0),2)=0,
"Attention : Montant présenté entièrement rejeté.",
ROUND(IFERROR(VALUE(TRIM(SUBSTITUTE(S11,CHAR(160),""))),0),2)&lt;
ROUND(IFERROR(VALUE(TRIM(SUBSTITUTE(I11,CHAR(160),""))),0),2),
"Attention : Montant présenté partiellement rejeté.",
TRUE,""
))</f>
        <v/>
      </c>
      <c r="V11" s="32" t="str">
        <f t="shared" si="8"/>
        <v/>
      </c>
      <c r="W11" s="115"/>
    </row>
    <row r="12" spans="1:23" ht="15" customHeight="1">
      <c r="A12" s="198">
        <v>8</v>
      </c>
      <c r="B12" s="37"/>
      <c r="C12" s="7"/>
      <c r="D12" s="38"/>
      <c r="E12" s="17"/>
      <c r="F12" s="38"/>
      <c r="G12" s="16"/>
      <c r="H12" s="38"/>
      <c r="I12" s="274" t="str">
        <f t="shared" si="17"/>
        <v/>
      </c>
      <c r="J12" s="176"/>
      <c r="K12" s="195" t="str">
        <f t="shared" si="10"/>
        <v/>
      </c>
      <c r="L12" s="32" t="str">
        <f t="shared" si="11"/>
        <v/>
      </c>
      <c r="M12" s="32" t="str">
        <f t="shared" si="12"/>
        <v/>
      </c>
      <c r="N12" s="110" t="str">
        <f t="shared" si="13"/>
        <v/>
      </c>
      <c r="O12" s="32" t="str">
        <f t="shared" si="14"/>
        <v/>
      </c>
      <c r="P12" s="32" t="str">
        <f t="shared" si="15"/>
        <v/>
      </c>
      <c r="Q12" s="32" t="str">
        <f t="shared" si="16"/>
        <v/>
      </c>
      <c r="R12" s="603"/>
      <c r="S12" s="281" t="str">
        <f t="shared" si="7"/>
        <v/>
      </c>
      <c r="T12" s="7"/>
      <c r="U12" s="23" t="str" cm="1">
        <f t="array" ref="U12">IF(OR(S12="",I12=""),"",_xlfn.IFS(
ROUND(IFERROR(VALUE(TRIM(SUBSTITUTE(S12,CHAR(160),""))),0),2)&gt;
ROUND(IFERROR(VALUE(TRIM(SUBSTITUTE(I12,CHAR(160),""))),0),2),
"KO : Le montant retenu est supérieur au montant présenté. Merci de revoir la ligne de contribution ou plafonner son montant.",
ROUND(IFERROR(VALUE(TRIM(SUBSTITUTE(I12,CHAR(160),""))),0),2)=0,
"",
ROUND(IFERROR(VALUE(TRIM(SUBSTITUTE(S12,CHAR(160),""))),0),2)=
ROUND(IFERROR(VALUE(TRIM(SUBSTITUTE(I12,CHAR(160),""))),0),2),
"OK",
ROUND(IFERROR(VALUE(TRIM(SUBSTITUTE(S12,CHAR(160),""))),0),2)=0,
"Attention : Montant présenté entièrement rejeté.",
ROUND(IFERROR(VALUE(TRIM(SUBSTITUTE(S12,CHAR(160),""))),0),2)&lt;
ROUND(IFERROR(VALUE(TRIM(SUBSTITUTE(I12,CHAR(160),""))),0),2),
"Attention : Montant présenté partiellement rejeté.",
TRUE,""
))</f>
        <v/>
      </c>
      <c r="V12" s="32" t="str">
        <f t="shared" si="8"/>
        <v/>
      </c>
      <c r="W12" s="115"/>
    </row>
    <row r="13" spans="1:23" ht="15" customHeight="1">
      <c r="A13" s="198">
        <v>9</v>
      </c>
      <c r="B13" s="37"/>
      <c r="C13" s="7"/>
      <c r="D13" s="38"/>
      <c r="E13" s="17"/>
      <c r="F13" s="38"/>
      <c r="G13" s="16"/>
      <c r="H13" s="38"/>
      <c r="I13" s="274" t="str">
        <f t="shared" si="17"/>
        <v/>
      </c>
      <c r="J13" s="176"/>
      <c r="K13" s="195" t="str">
        <f t="shared" si="10"/>
        <v/>
      </c>
      <c r="L13" s="32" t="str">
        <f t="shared" si="11"/>
        <v/>
      </c>
      <c r="M13" s="32" t="str">
        <f t="shared" si="12"/>
        <v/>
      </c>
      <c r="N13" s="110" t="str">
        <f t="shared" si="13"/>
        <v/>
      </c>
      <c r="O13" s="32" t="str">
        <f t="shared" si="14"/>
        <v/>
      </c>
      <c r="P13" s="32" t="str">
        <f t="shared" si="15"/>
        <v/>
      </c>
      <c r="Q13" s="32" t="str">
        <f t="shared" si="16"/>
        <v/>
      </c>
      <c r="R13" s="603"/>
      <c r="S13" s="281" t="str">
        <f t="shared" si="7"/>
        <v/>
      </c>
      <c r="T13" s="7"/>
      <c r="U13" s="23" t="str" cm="1">
        <f t="array" ref="U13">IF(OR(S13="",I13=""),"",_xlfn.IFS(
ROUND(IFERROR(VALUE(TRIM(SUBSTITUTE(S13,CHAR(160),""))),0),2)&gt;
ROUND(IFERROR(VALUE(TRIM(SUBSTITUTE(I13,CHAR(160),""))),0),2),
"KO : Le montant retenu est supérieur au montant présenté. Merci de revoir la ligne de contribution ou plafonner son montant.",
ROUND(IFERROR(VALUE(TRIM(SUBSTITUTE(I13,CHAR(160),""))),0),2)=0,
"",
ROUND(IFERROR(VALUE(TRIM(SUBSTITUTE(S13,CHAR(160),""))),0),2)=
ROUND(IFERROR(VALUE(TRIM(SUBSTITUTE(I13,CHAR(160),""))),0),2),
"OK",
ROUND(IFERROR(VALUE(TRIM(SUBSTITUTE(S13,CHAR(160),""))),0),2)=0,
"Attention : Montant présenté entièrement rejeté.",
ROUND(IFERROR(VALUE(TRIM(SUBSTITUTE(S13,CHAR(160),""))),0),2)&lt;
ROUND(IFERROR(VALUE(TRIM(SUBSTITUTE(I13,CHAR(160),""))),0),2),
"Attention : Montant présenté partiellement rejeté.",
TRUE,""
))</f>
        <v/>
      </c>
      <c r="V13" s="32" t="str">
        <f t="shared" si="8"/>
        <v/>
      </c>
      <c r="W13" s="115"/>
    </row>
    <row r="14" spans="1:23" ht="15" customHeight="1">
      <c r="A14" s="198">
        <v>10</v>
      </c>
      <c r="B14" s="37"/>
      <c r="C14" s="7"/>
      <c r="D14" s="38"/>
      <c r="E14" s="17"/>
      <c r="F14" s="38"/>
      <c r="G14" s="16"/>
      <c r="H14" s="38"/>
      <c r="I14" s="274" t="str">
        <f t="shared" si="17"/>
        <v/>
      </c>
      <c r="J14" s="176"/>
      <c r="K14" s="195" t="str">
        <f t="shared" si="10"/>
        <v/>
      </c>
      <c r="L14" s="32" t="str">
        <f t="shared" si="11"/>
        <v/>
      </c>
      <c r="M14" s="32" t="str">
        <f t="shared" si="12"/>
        <v/>
      </c>
      <c r="N14" s="110" t="str">
        <f t="shared" si="13"/>
        <v/>
      </c>
      <c r="O14" s="32" t="str">
        <f t="shared" si="14"/>
        <v/>
      </c>
      <c r="P14" s="32" t="str">
        <f t="shared" si="15"/>
        <v/>
      </c>
      <c r="Q14" s="32" t="str">
        <f t="shared" si="16"/>
        <v/>
      </c>
      <c r="R14" s="603"/>
      <c r="S14" s="281" t="str">
        <f t="shared" si="7"/>
        <v/>
      </c>
      <c r="T14" s="7"/>
      <c r="U14" s="23" t="str" cm="1">
        <f t="array" ref="U14">IF(OR(S14="",I14=""),"",_xlfn.IFS(
ROUND(IFERROR(VALUE(TRIM(SUBSTITUTE(S14,CHAR(160),""))),0),2)&gt;
ROUND(IFERROR(VALUE(TRIM(SUBSTITUTE(I14,CHAR(160),""))),0),2),
"KO : Le montant retenu est supérieur au montant présenté. Merci de revoir la ligne de contribution ou plafonner son montant.",
ROUND(IFERROR(VALUE(TRIM(SUBSTITUTE(I14,CHAR(160),""))),0),2)=0,
"",
ROUND(IFERROR(VALUE(TRIM(SUBSTITUTE(S14,CHAR(160),""))),0),2)=
ROUND(IFERROR(VALUE(TRIM(SUBSTITUTE(I14,CHAR(160),""))),0),2),
"OK",
ROUND(IFERROR(VALUE(TRIM(SUBSTITUTE(S14,CHAR(160),""))),0),2)=0,
"Attention : Montant présenté entièrement rejeté.",
ROUND(IFERROR(VALUE(TRIM(SUBSTITUTE(S14,CHAR(160),""))),0),2)&lt;
ROUND(IFERROR(VALUE(TRIM(SUBSTITUTE(I14,CHAR(160),""))),0),2),
"Attention : Montant présenté partiellement rejeté.",
TRUE,""
))</f>
        <v/>
      </c>
      <c r="V14" s="32" t="str">
        <f t="shared" si="8"/>
        <v/>
      </c>
      <c r="W14" s="115"/>
    </row>
    <row r="15" spans="1:23" ht="15" customHeight="1">
      <c r="A15" s="198">
        <v>11</v>
      </c>
      <c r="B15" s="37"/>
      <c r="C15" s="7"/>
      <c r="D15" s="38"/>
      <c r="E15" s="17"/>
      <c r="F15" s="38"/>
      <c r="G15" s="16"/>
      <c r="H15" s="38"/>
      <c r="I15" s="274" t="str">
        <f t="shared" si="17"/>
        <v/>
      </c>
      <c r="J15" s="176"/>
      <c r="K15" s="195" t="str">
        <f t="shared" si="10"/>
        <v/>
      </c>
      <c r="L15" s="32" t="str">
        <f t="shared" si="11"/>
        <v/>
      </c>
      <c r="M15" s="32" t="str">
        <f t="shared" si="12"/>
        <v/>
      </c>
      <c r="N15" s="110" t="str">
        <f t="shared" si="13"/>
        <v/>
      </c>
      <c r="O15" s="32" t="str">
        <f t="shared" si="14"/>
        <v/>
      </c>
      <c r="P15" s="32" t="str">
        <f t="shared" si="15"/>
        <v/>
      </c>
      <c r="Q15" s="32" t="str">
        <f t="shared" si="16"/>
        <v/>
      </c>
      <c r="R15" s="603"/>
      <c r="S15" s="281" t="str">
        <f t="shared" si="7"/>
        <v/>
      </c>
      <c r="T15" s="7"/>
      <c r="U15" s="23" t="str" cm="1">
        <f t="array" ref="U15">IF(OR(S15="",I15=""),"",_xlfn.IFS(
ROUND(IFERROR(VALUE(TRIM(SUBSTITUTE(S15,CHAR(160),""))),0),2)&gt;
ROUND(IFERROR(VALUE(TRIM(SUBSTITUTE(I15,CHAR(160),""))),0),2),
"KO : Le montant retenu est supérieur au montant présenté. Merci de revoir la ligne de contribution ou plafonner son montant.",
ROUND(IFERROR(VALUE(TRIM(SUBSTITUTE(I15,CHAR(160),""))),0),2)=0,
"",
ROUND(IFERROR(VALUE(TRIM(SUBSTITUTE(S15,CHAR(160),""))),0),2)=
ROUND(IFERROR(VALUE(TRIM(SUBSTITUTE(I15,CHAR(160),""))),0),2),
"OK",
ROUND(IFERROR(VALUE(TRIM(SUBSTITUTE(S15,CHAR(160),""))),0),2)=0,
"Attention : Montant présenté entièrement rejeté.",
ROUND(IFERROR(VALUE(TRIM(SUBSTITUTE(S15,CHAR(160),""))),0),2)&lt;
ROUND(IFERROR(VALUE(TRIM(SUBSTITUTE(I15,CHAR(160),""))),0),2),
"Attention : Montant présenté partiellement rejeté.",
TRUE,""
))</f>
        <v/>
      </c>
      <c r="V15" s="32" t="str">
        <f t="shared" si="8"/>
        <v/>
      </c>
      <c r="W15" s="115"/>
    </row>
    <row r="16" spans="1:23" ht="15" customHeight="1">
      <c r="A16" s="198">
        <v>12</v>
      </c>
      <c r="B16" s="37"/>
      <c r="C16" s="7"/>
      <c r="D16" s="38"/>
      <c r="E16" s="17"/>
      <c r="F16" s="38"/>
      <c r="G16" s="16"/>
      <c r="H16" s="38"/>
      <c r="I16" s="274" t="str">
        <f t="shared" si="17"/>
        <v/>
      </c>
      <c r="J16" s="176"/>
      <c r="K16" s="195" t="str">
        <f t="shared" si="10"/>
        <v/>
      </c>
      <c r="L16" s="32" t="str">
        <f t="shared" si="11"/>
        <v/>
      </c>
      <c r="M16" s="32" t="str">
        <f t="shared" si="12"/>
        <v/>
      </c>
      <c r="N16" s="110" t="str">
        <f t="shared" si="13"/>
        <v/>
      </c>
      <c r="O16" s="32" t="str">
        <f t="shared" si="14"/>
        <v/>
      </c>
      <c r="P16" s="32" t="str">
        <f t="shared" si="15"/>
        <v/>
      </c>
      <c r="Q16" s="32" t="str">
        <f t="shared" si="16"/>
        <v/>
      </c>
      <c r="R16" s="603"/>
      <c r="S16" s="281" t="str">
        <f t="shared" si="7"/>
        <v/>
      </c>
      <c r="T16" s="7"/>
      <c r="U16" s="23" t="str" cm="1">
        <f t="array" ref="U16">IF(OR(S16="",I16=""),"",_xlfn.IFS(
ROUND(IFERROR(VALUE(TRIM(SUBSTITUTE(S16,CHAR(160),""))),0),2)&gt;
ROUND(IFERROR(VALUE(TRIM(SUBSTITUTE(I16,CHAR(160),""))),0),2),
"KO : Le montant retenu est supérieur au montant présenté. Merci de revoir la ligne de contribution ou plafonner son montant.",
ROUND(IFERROR(VALUE(TRIM(SUBSTITUTE(I16,CHAR(160),""))),0),2)=0,
"",
ROUND(IFERROR(VALUE(TRIM(SUBSTITUTE(S16,CHAR(160),""))),0),2)=
ROUND(IFERROR(VALUE(TRIM(SUBSTITUTE(I16,CHAR(160),""))),0),2),
"OK",
ROUND(IFERROR(VALUE(TRIM(SUBSTITUTE(S16,CHAR(160),""))),0),2)=0,
"Attention : Montant présenté entièrement rejeté.",
ROUND(IFERROR(VALUE(TRIM(SUBSTITUTE(S16,CHAR(160),""))),0),2)&lt;
ROUND(IFERROR(VALUE(TRIM(SUBSTITUTE(I16,CHAR(160),""))),0),2),
"Attention : Montant présenté partiellement rejeté.",
TRUE,""
))</f>
        <v/>
      </c>
      <c r="V16" s="32" t="str">
        <f t="shared" si="8"/>
        <v/>
      </c>
      <c r="W16" s="115"/>
    </row>
    <row r="17" spans="1:23" ht="15" customHeight="1">
      <c r="A17" s="198">
        <v>13</v>
      </c>
      <c r="B17" s="37"/>
      <c r="C17" s="7"/>
      <c r="D17" s="38"/>
      <c r="E17" s="17"/>
      <c r="F17" s="38"/>
      <c r="G17" s="16"/>
      <c r="H17" s="38"/>
      <c r="I17" s="274" t="str">
        <f t="shared" si="17"/>
        <v/>
      </c>
      <c r="J17" s="176"/>
      <c r="K17" s="195" t="str">
        <f t="shared" si="10"/>
        <v/>
      </c>
      <c r="L17" s="32" t="str">
        <f t="shared" si="11"/>
        <v/>
      </c>
      <c r="M17" s="32" t="str">
        <f t="shared" si="12"/>
        <v/>
      </c>
      <c r="N17" s="110" t="str">
        <f t="shared" si="13"/>
        <v/>
      </c>
      <c r="O17" s="32" t="str">
        <f t="shared" si="14"/>
        <v/>
      </c>
      <c r="P17" s="32" t="str">
        <f t="shared" si="15"/>
        <v/>
      </c>
      <c r="Q17" s="32" t="str">
        <f t="shared" si="16"/>
        <v/>
      </c>
      <c r="R17" s="603"/>
      <c r="S17" s="281" t="str">
        <f t="shared" si="7"/>
        <v/>
      </c>
      <c r="T17" s="7"/>
      <c r="U17" s="23" t="str" cm="1">
        <f t="array" ref="U17">IF(OR(S17="",I17=""),"",_xlfn.IFS(
ROUND(IFERROR(VALUE(TRIM(SUBSTITUTE(S17,CHAR(160),""))),0),2)&gt;
ROUND(IFERROR(VALUE(TRIM(SUBSTITUTE(I17,CHAR(160),""))),0),2),
"KO : Le montant retenu est supérieur au montant présenté. Merci de revoir la ligne de contribution ou plafonner son montant.",
ROUND(IFERROR(VALUE(TRIM(SUBSTITUTE(I17,CHAR(160),""))),0),2)=0,
"",
ROUND(IFERROR(VALUE(TRIM(SUBSTITUTE(S17,CHAR(160),""))),0),2)=
ROUND(IFERROR(VALUE(TRIM(SUBSTITUTE(I17,CHAR(160),""))),0),2),
"OK",
ROUND(IFERROR(VALUE(TRIM(SUBSTITUTE(S17,CHAR(160),""))),0),2)=0,
"Attention : Montant présenté entièrement rejeté.",
ROUND(IFERROR(VALUE(TRIM(SUBSTITUTE(S17,CHAR(160),""))),0),2)&lt;
ROUND(IFERROR(VALUE(TRIM(SUBSTITUTE(I17,CHAR(160),""))),0),2),
"Attention : Montant présenté partiellement rejeté.",
TRUE,""
))</f>
        <v/>
      </c>
      <c r="V17" s="32" t="str">
        <f t="shared" si="8"/>
        <v/>
      </c>
      <c r="W17" s="115"/>
    </row>
    <row r="18" spans="1:23" ht="15" customHeight="1">
      <c r="A18" s="198">
        <v>14</v>
      </c>
      <c r="B18" s="37"/>
      <c r="C18" s="7"/>
      <c r="D18" s="38"/>
      <c r="E18" s="17"/>
      <c r="F18" s="38"/>
      <c r="G18" s="16"/>
      <c r="H18" s="38"/>
      <c r="I18" s="274" t="str">
        <f t="shared" si="17"/>
        <v/>
      </c>
      <c r="J18" s="176"/>
      <c r="K18" s="195" t="str">
        <f t="shared" si="10"/>
        <v/>
      </c>
      <c r="L18" s="32" t="str">
        <f t="shared" si="11"/>
        <v/>
      </c>
      <c r="M18" s="32" t="str">
        <f t="shared" si="12"/>
        <v/>
      </c>
      <c r="N18" s="110" t="str">
        <f t="shared" si="13"/>
        <v/>
      </c>
      <c r="O18" s="32" t="str">
        <f t="shared" si="14"/>
        <v/>
      </c>
      <c r="P18" s="32" t="str">
        <f t="shared" si="15"/>
        <v/>
      </c>
      <c r="Q18" s="32" t="str">
        <f t="shared" si="16"/>
        <v/>
      </c>
      <c r="R18" s="603"/>
      <c r="S18" s="281" t="str">
        <f t="shared" si="7"/>
        <v/>
      </c>
      <c r="T18" s="7"/>
      <c r="U18" s="23" t="str" cm="1">
        <f t="array" ref="U18">IF(OR(S18="",I18=""),"",_xlfn.IFS(
ROUND(IFERROR(VALUE(TRIM(SUBSTITUTE(S18,CHAR(160),""))),0),2)&gt;
ROUND(IFERROR(VALUE(TRIM(SUBSTITUTE(I18,CHAR(160),""))),0),2),
"KO : Le montant retenu est supérieur au montant présenté. Merci de revoir la ligne de contribution ou plafonner son montant.",
ROUND(IFERROR(VALUE(TRIM(SUBSTITUTE(I18,CHAR(160),""))),0),2)=0,
"",
ROUND(IFERROR(VALUE(TRIM(SUBSTITUTE(S18,CHAR(160),""))),0),2)=
ROUND(IFERROR(VALUE(TRIM(SUBSTITUTE(I18,CHAR(160),""))),0),2),
"OK",
ROUND(IFERROR(VALUE(TRIM(SUBSTITUTE(S18,CHAR(160),""))),0),2)=0,
"Attention : Montant présenté entièrement rejeté.",
ROUND(IFERROR(VALUE(TRIM(SUBSTITUTE(S18,CHAR(160),""))),0),2)&lt;
ROUND(IFERROR(VALUE(TRIM(SUBSTITUTE(I18,CHAR(160),""))),0),2),
"Attention : Montant présenté partiellement rejeté.",
TRUE,""
))</f>
        <v/>
      </c>
      <c r="V18" s="32" t="str">
        <f t="shared" si="8"/>
        <v/>
      </c>
      <c r="W18" s="115"/>
    </row>
    <row r="19" spans="1:23" ht="15" customHeight="1">
      <c r="A19" s="198">
        <v>15</v>
      </c>
      <c r="B19" s="37"/>
      <c r="C19" s="7"/>
      <c r="D19" s="38"/>
      <c r="E19" s="17"/>
      <c r="F19" s="38"/>
      <c r="G19" s="16"/>
      <c r="H19" s="38"/>
      <c r="I19" s="274" t="str">
        <f t="shared" si="17"/>
        <v/>
      </c>
      <c r="J19" s="176"/>
      <c r="K19" s="195" t="str">
        <f t="shared" si="10"/>
        <v/>
      </c>
      <c r="L19" s="32" t="str">
        <f t="shared" si="11"/>
        <v/>
      </c>
      <c r="M19" s="32" t="str">
        <f t="shared" si="12"/>
        <v/>
      </c>
      <c r="N19" s="110" t="str">
        <f t="shared" si="13"/>
        <v/>
      </c>
      <c r="O19" s="32" t="str">
        <f t="shared" si="14"/>
        <v/>
      </c>
      <c r="P19" s="32" t="str">
        <f t="shared" si="15"/>
        <v/>
      </c>
      <c r="Q19" s="32" t="str">
        <f t="shared" si="16"/>
        <v/>
      </c>
      <c r="R19" s="603"/>
      <c r="S19" s="281" t="str">
        <f t="shared" si="7"/>
        <v/>
      </c>
      <c r="T19" s="7"/>
      <c r="U19" s="23" t="str" cm="1">
        <f t="array" ref="U19">IF(OR(S19="",I19=""),"",_xlfn.IFS(
ROUND(IFERROR(VALUE(TRIM(SUBSTITUTE(S19,CHAR(160),""))),0),2)&gt;
ROUND(IFERROR(VALUE(TRIM(SUBSTITUTE(I19,CHAR(160),""))),0),2),
"KO : Le montant retenu est supérieur au montant présenté. Merci de revoir la ligne de contribution ou plafonner son montant.",
ROUND(IFERROR(VALUE(TRIM(SUBSTITUTE(I19,CHAR(160),""))),0),2)=0,
"",
ROUND(IFERROR(VALUE(TRIM(SUBSTITUTE(S19,CHAR(160),""))),0),2)=
ROUND(IFERROR(VALUE(TRIM(SUBSTITUTE(I19,CHAR(160),""))),0),2),
"OK",
ROUND(IFERROR(VALUE(TRIM(SUBSTITUTE(S19,CHAR(160),""))),0),2)=0,
"Attention : Montant présenté entièrement rejeté.",
ROUND(IFERROR(VALUE(TRIM(SUBSTITUTE(S19,CHAR(160),""))),0),2)&lt;
ROUND(IFERROR(VALUE(TRIM(SUBSTITUTE(I19,CHAR(160),""))),0),2),
"Attention : Montant présenté partiellement rejeté.",
TRUE,""
))</f>
        <v/>
      </c>
      <c r="V19" s="32" t="str">
        <f t="shared" si="8"/>
        <v/>
      </c>
      <c r="W19" s="116"/>
    </row>
    <row r="20" spans="1:23" ht="15" customHeight="1">
      <c r="A20" s="198">
        <v>16</v>
      </c>
      <c r="B20" s="37"/>
      <c r="C20" s="7"/>
      <c r="D20" s="38"/>
      <c r="E20" s="17"/>
      <c r="F20" s="38"/>
      <c r="G20" s="16"/>
      <c r="H20" s="38"/>
      <c r="I20" s="274" t="str">
        <f t="shared" si="17"/>
        <v/>
      </c>
      <c r="J20" s="176"/>
      <c r="K20" s="195" t="str">
        <f t="shared" si="10"/>
        <v/>
      </c>
      <c r="L20" s="32" t="str">
        <f t="shared" si="11"/>
        <v/>
      </c>
      <c r="M20" s="32" t="str">
        <f t="shared" si="12"/>
        <v/>
      </c>
      <c r="N20" s="110" t="str">
        <f t="shared" si="13"/>
        <v/>
      </c>
      <c r="O20" s="32" t="str">
        <f t="shared" si="14"/>
        <v/>
      </c>
      <c r="P20" s="32" t="str">
        <f t="shared" si="15"/>
        <v/>
      </c>
      <c r="Q20" s="32" t="str">
        <f t="shared" si="16"/>
        <v/>
      </c>
      <c r="R20" s="603"/>
      <c r="S20" s="281" t="str">
        <f t="shared" si="7"/>
        <v/>
      </c>
      <c r="T20" s="7"/>
      <c r="U20" s="23" t="str" cm="1">
        <f t="array" ref="U20">IF(OR(S20="",I20=""),"",_xlfn.IFS(
ROUND(IFERROR(VALUE(TRIM(SUBSTITUTE(S20,CHAR(160),""))),0),2)&gt;
ROUND(IFERROR(VALUE(TRIM(SUBSTITUTE(I20,CHAR(160),""))),0),2),
"KO : Le montant retenu est supérieur au montant présenté. Merci de revoir la ligne de contribution ou plafonner son montant.",
ROUND(IFERROR(VALUE(TRIM(SUBSTITUTE(I20,CHAR(160),""))),0),2)=0,
"",
ROUND(IFERROR(VALUE(TRIM(SUBSTITUTE(S20,CHAR(160),""))),0),2)=
ROUND(IFERROR(VALUE(TRIM(SUBSTITUTE(I20,CHAR(160),""))),0),2),
"OK",
ROUND(IFERROR(VALUE(TRIM(SUBSTITUTE(S20,CHAR(160),""))),0),2)=0,
"Attention : Montant présenté entièrement rejeté.",
ROUND(IFERROR(VALUE(TRIM(SUBSTITUTE(S20,CHAR(160),""))),0),2)&lt;
ROUND(IFERROR(VALUE(TRIM(SUBSTITUTE(I20,CHAR(160),""))),0),2),
"Attention : Montant présenté partiellement rejeté.",
TRUE,""
))</f>
        <v/>
      </c>
      <c r="V20" s="32" t="str">
        <f t="shared" si="8"/>
        <v/>
      </c>
      <c r="W20" s="116"/>
    </row>
    <row r="21" spans="1:23" ht="15" customHeight="1">
      <c r="A21" s="198">
        <v>17</v>
      </c>
      <c r="B21" s="37"/>
      <c r="C21" s="7"/>
      <c r="D21" s="38"/>
      <c r="E21" s="17"/>
      <c r="F21" s="38"/>
      <c r="G21" s="16"/>
      <c r="H21" s="38"/>
      <c r="I21" s="274" t="str">
        <f t="shared" si="17"/>
        <v/>
      </c>
      <c r="J21" s="176"/>
      <c r="K21" s="195" t="str">
        <f t="shared" si="10"/>
        <v/>
      </c>
      <c r="L21" s="32" t="str">
        <f t="shared" si="11"/>
        <v/>
      </c>
      <c r="M21" s="32" t="str">
        <f t="shared" si="12"/>
        <v/>
      </c>
      <c r="N21" s="110" t="str">
        <f t="shared" si="13"/>
        <v/>
      </c>
      <c r="O21" s="32" t="str">
        <f t="shared" si="14"/>
        <v/>
      </c>
      <c r="P21" s="32" t="str">
        <f t="shared" si="15"/>
        <v/>
      </c>
      <c r="Q21" s="32" t="str">
        <f t="shared" si="16"/>
        <v/>
      </c>
      <c r="R21" s="603"/>
      <c r="S21" s="281" t="str">
        <f t="shared" si="7"/>
        <v/>
      </c>
      <c r="T21" s="7"/>
      <c r="U21" s="23" t="str" cm="1">
        <f t="array" ref="U21">IF(OR(S21="",I21=""),"",_xlfn.IFS(
ROUND(IFERROR(VALUE(TRIM(SUBSTITUTE(S21,CHAR(160),""))),0),2)&gt;
ROUND(IFERROR(VALUE(TRIM(SUBSTITUTE(I21,CHAR(160),""))),0),2),
"KO : Le montant retenu est supérieur au montant présenté. Merci de revoir la ligne de contribution ou plafonner son montant.",
ROUND(IFERROR(VALUE(TRIM(SUBSTITUTE(I21,CHAR(160),""))),0),2)=0,
"",
ROUND(IFERROR(VALUE(TRIM(SUBSTITUTE(S21,CHAR(160),""))),0),2)=
ROUND(IFERROR(VALUE(TRIM(SUBSTITUTE(I21,CHAR(160),""))),0),2),
"OK",
ROUND(IFERROR(VALUE(TRIM(SUBSTITUTE(S21,CHAR(160),""))),0),2)=0,
"Attention : Montant présenté entièrement rejeté.",
ROUND(IFERROR(VALUE(TRIM(SUBSTITUTE(S21,CHAR(160),""))),0),2)&lt;
ROUND(IFERROR(VALUE(TRIM(SUBSTITUTE(I21,CHAR(160),""))),0),2),
"Attention : Montant présenté partiellement rejeté.",
TRUE,""
))</f>
        <v/>
      </c>
      <c r="V21" s="32" t="str">
        <f t="shared" si="8"/>
        <v/>
      </c>
    </row>
    <row r="22" spans="1:23" ht="15" customHeight="1">
      <c r="A22" s="198">
        <v>18</v>
      </c>
      <c r="B22" s="37"/>
      <c r="C22" s="7"/>
      <c r="D22" s="38"/>
      <c r="E22" s="17"/>
      <c r="F22" s="38"/>
      <c r="G22" s="16"/>
      <c r="H22" s="38"/>
      <c r="I22" s="274" t="str">
        <f t="shared" si="17"/>
        <v/>
      </c>
      <c r="J22" s="176"/>
      <c r="K22" s="195" t="str">
        <f t="shared" si="10"/>
        <v/>
      </c>
      <c r="L22" s="32" t="str">
        <f t="shared" si="11"/>
        <v/>
      </c>
      <c r="M22" s="32" t="str">
        <f t="shared" si="12"/>
        <v/>
      </c>
      <c r="N22" s="110" t="str">
        <f t="shared" si="13"/>
        <v/>
      </c>
      <c r="O22" s="32" t="str">
        <f t="shared" si="14"/>
        <v/>
      </c>
      <c r="P22" s="32" t="str">
        <f t="shared" si="15"/>
        <v/>
      </c>
      <c r="Q22" s="32" t="str">
        <f t="shared" si="16"/>
        <v/>
      </c>
      <c r="R22" s="603"/>
      <c r="S22" s="281" t="str">
        <f t="shared" si="7"/>
        <v/>
      </c>
      <c r="T22" s="7"/>
      <c r="U22" s="23" t="str" cm="1">
        <f t="array" ref="U22">IF(OR(S22="",I22=""),"",_xlfn.IFS(
ROUND(IFERROR(VALUE(TRIM(SUBSTITUTE(S22,CHAR(160),""))),0),2)&gt;
ROUND(IFERROR(VALUE(TRIM(SUBSTITUTE(I22,CHAR(160),""))),0),2),
"KO : Le montant retenu est supérieur au montant présenté. Merci de revoir la ligne de contribution ou plafonner son montant.",
ROUND(IFERROR(VALUE(TRIM(SUBSTITUTE(I22,CHAR(160),""))),0),2)=0,
"",
ROUND(IFERROR(VALUE(TRIM(SUBSTITUTE(S22,CHAR(160),""))),0),2)=
ROUND(IFERROR(VALUE(TRIM(SUBSTITUTE(I22,CHAR(160),""))),0),2),
"OK",
ROUND(IFERROR(VALUE(TRIM(SUBSTITUTE(S22,CHAR(160),""))),0),2)=0,
"Attention : Montant présenté entièrement rejeté.",
ROUND(IFERROR(VALUE(TRIM(SUBSTITUTE(S22,CHAR(160),""))),0),2)&lt;
ROUND(IFERROR(VALUE(TRIM(SUBSTITUTE(I22,CHAR(160),""))),0),2),
"Attention : Montant présenté partiellement rejeté.",
TRUE,""
))</f>
        <v/>
      </c>
      <c r="V22" s="32" t="str">
        <f t="shared" si="8"/>
        <v/>
      </c>
    </row>
    <row r="23" spans="1:23" ht="15" customHeight="1">
      <c r="A23" s="198">
        <v>19</v>
      </c>
      <c r="B23" s="37"/>
      <c r="C23" s="7"/>
      <c r="D23" s="38"/>
      <c r="E23" s="17"/>
      <c r="F23" s="38"/>
      <c r="G23" s="16"/>
      <c r="H23" s="38"/>
      <c r="I23" s="274" t="str">
        <f t="shared" si="17"/>
        <v/>
      </c>
      <c r="J23" s="176"/>
      <c r="K23" s="195" t="str">
        <f t="shared" si="10"/>
        <v/>
      </c>
      <c r="L23" s="32" t="str">
        <f t="shared" si="11"/>
        <v/>
      </c>
      <c r="M23" s="32" t="str">
        <f t="shared" si="12"/>
        <v/>
      </c>
      <c r="N23" s="110" t="str">
        <f t="shared" si="13"/>
        <v/>
      </c>
      <c r="O23" s="32" t="str">
        <f t="shared" si="14"/>
        <v/>
      </c>
      <c r="P23" s="32" t="str">
        <f t="shared" si="15"/>
        <v/>
      </c>
      <c r="Q23" s="32" t="str">
        <f t="shared" si="16"/>
        <v/>
      </c>
      <c r="R23" s="603"/>
      <c r="S23" s="281" t="str">
        <f t="shared" si="7"/>
        <v/>
      </c>
      <c r="T23" s="7"/>
      <c r="U23" s="23" t="str" cm="1">
        <f t="array" ref="U23">IF(OR(S23="",I23=""),"",_xlfn.IFS(
ROUND(IFERROR(VALUE(TRIM(SUBSTITUTE(S23,CHAR(160),""))),0),2)&gt;
ROUND(IFERROR(VALUE(TRIM(SUBSTITUTE(I23,CHAR(160),""))),0),2),
"KO : Le montant retenu est supérieur au montant présenté. Merci de revoir la ligne de contribution ou plafonner son montant.",
ROUND(IFERROR(VALUE(TRIM(SUBSTITUTE(I23,CHAR(160),""))),0),2)=0,
"",
ROUND(IFERROR(VALUE(TRIM(SUBSTITUTE(S23,CHAR(160),""))),0),2)=
ROUND(IFERROR(VALUE(TRIM(SUBSTITUTE(I23,CHAR(160),""))),0),2),
"OK",
ROUND(IFERROR(VALUE(TRIM(SUBSTITUTE(S23,CHAR(160),""))),0),2)=0,
"Attention : Montant présenté entièrement rejeté.",
ROUND(IFERROR(VALUE(TRIM(SUBSTITUTE(S23,CHAR(160),""))),0),2)&lt;
ROUND(IFERROR(VALUE(TRIM(SUBSTITUTE(I23,CHAR(160),""))),0),2),
"Attention : Montant présenté partiellement rejeté.",
TRUE,""
))</f>
        <v/>
      </c>
      <c r="V23" s="32" t="str">
        <f t="shared" si="8"/>
        <v/>
      </c>
    </row>
    <row r="24" spans="1:23" ht="15" customHeight="1">
      <c r="A24" s="198">
        <v>20</v>
      </c>
      <c r="B24" s="37"/>
      <c r="C24" s="7"/>
      <c r="D24" s="38"/>
      <c r="E24" s="17"/>
      <c r="F24" s="38"/>
      <c r="G24" s="16"/>
      <c r="H24" s="38"/>
      <c r="I24" s="274" t="str">
        <f t="shared" si="17"/>
        <v/>
      </c>
      <c r="J24" s="176"/>
      <c r="K24" s="195" t="str">
        <f t="shared" si="10"/>
        <v/>
      </c>
      <c r="L24" s="32" t="str">
        <f t="shared" si="11"/>
        <v/>
      </c>
      <c r="M24" s="32" t="str">
        <f t="shared" si="12"/>
        <v/>
      </c>
      <c r="N24" s="110" t="str">
        <f t="shared" si="13"/>
        <v/>
      </c>
      <c r="O24" s="32" t="str">
        <f t="shared" si="14"/>
        <v/>
      </c>
      <c r="P24" s="32" t="str">
        <f t="shared" si="15"/>
        <v/>
      </c>
      <c r="Q24" s="32" t="str">
        <f t="shared" si="16"/>
        <v/>
      </c>
      <c r="R24" s="603"/>
      <c r="S24" s="281" t="str">
        <f t="shared" si="7"/>
        <v/>
      </c>
      <c r="T24" s="7"/>
      <c r="U24" s="23" t="str" cm="1">
        <f t="array" ref="U24">IF(OR(S24="",I24=""),"",_xlfn.IFS(
ROUND(IFERROR(VALUE(TRIM(SUBSTITUTE(S24,CHAR(160),""))),0),2)&gt;
ROUND(IFERROR(VALUE(TRIM(SUBSTITUTE(I24,CHAR(160),""))),0),2),
"KO : Le montant retenu est supérieur au montant présenté. Merci de revoir la ligne de contribution ou plafonner son montant.",
ROUND(IFERROR(VALUE(TRIM(SUBSTITUTE(I24,CHAR(160),""))),0),2)=0,
"",
ROUND(IFERROR(VALUE(TRIM(SUBSTITUTE(S24,CHAR(160),""))),0),2)=
ROUND(IFERROR(VALUE(TRIM(SUBSTITUTE(I24,CHAR(160),""))),0),2),
"OK",
ROUND(IFERROR(VALUE(TRIM(SUBSTITUTE(S24,CHAR(160),""))),0),2)=0,
"Attention : Montant présenté entièrement rejeté.",
ROUND(IFERROR(VALUE(TRIM(SUBSTITUTE(S24,CHAR(160),""))),0),2)&lt;
ROUND(IFERROR(VALUE(TRIM(SUBSTITUTE(I24,CHAR(160),""))),0),2),
"Attention : Montant présenté partiellement rejeté.",
TRUE,""
))</f>
        <v/>
      </c>
      <c r="V24" s="32" t="str">
        <f t="shared" si="8"/>
        <v/>
      </c>
    </row>
    <row r="25" spans="1:23" ht="15" customHeight="1">
      <c r="A25" s="198">
        <v>21</v>
      </c>
      <c r="B25" s="37"/>
      <c r="C25" s="7"/>
      <c r="D25" s="38"/>
      <c r="E25" s="17"/>
      <c r="F25" s="38"/>
      <c r="G25" s="16"/>
      <c r="H25" s="38"/>
      <c r="I25" s="274" t="str">
        <f t="shared" si="17"/>
        <v/>
      </c>
      <c r="J25" s="176"/>
      <c r="K25" s="195" t="str">
        <f t="shared" si="10"/>
        <v/>
      </c>
      <c r="L25" s="32" t="str">
        <f t="shared" si="11"/>
        <v/>
      </c>
      <c r="M25" s="32" t="str">
        <f t="shared" si="12"/>
        <v/>
      </c>
      <c r="N25" s="110" t="str">
        <f t="shared" si="13"/>
        <v/>
      </c>
      <c r="O25" s="32" t="str">
        <f t="shared" si="14"/>
        <v/>
      </c>
      <c r="P25" s="32" t="str">
        <f t="shared" si="15"/>
        <v/>
      </c>
      <c r="Q25" s="32" t="str">
        <f t="shared" si="16"/>
        <v/>
      </c>
      <c r="R25" s="603"/>
      <c r="S25" s="281" t="str">
        <f t="shared" si="7"/>
        <v/>
      </c>
      <c r="T25" s="7"/>
      <c r="U25" s="23" t="str" cm="1">
        <f t="array" ref="U25">IF(OR(S25="",I25=""),"",_xlfn.IFS(
ROUND(IFERROR(VALUE(TRIM(SUBSTITUTE(S25,CHAR(160),""))),0),2)&gt;
ROUND(IFERROR(VALUE(TRIM(SUBSTITUTE(I25,CHAR(160),""))),0),2),
"KO : Le montant retenu est supérieur au montant présenté. Merci de revoir la ligne de contribution ou plafonner son montant.",
ROUND(IFERROR(VALUE(TRIM(SUBSTITUTE(I25,CHAR(160),""))),0),2)=0,
"",
ROUND(IFERROR(VALUE(TRIM(SUBSTITUTE(S25,CHAR(160),""))),0),2)=
ROUND(IFERROR(VALUE(TRIM(SUBSTITUTE(I25,CHAR(160),""))),0),2),
"OK",
ROUND(IFERROR(VALUE(TRIM(SUBSTITUTE(S25,CHAR(160),""))),0),2)=0,
"Attention : Montant présenté entièrement rejeté.",
ROUND(IFERROR(VALUE(TRIM(SUBSTITUTE(S25,CHAR(160),""))),0),2)&lt;
ROUND(IFERROR(VALUE(TRIM(SUBSTITUTE(I25,CHAR(160),""))),0),2),
"Attention : Montant présenté partiellement rejeté.",
TRUE,""
))</f>
        <v/>
      </c>
      <c r="V25" s="32" t="str">
        <f t="shared" si="8"/>
        <v/>
      </c>
    </row>
    <row r="26" spans="1:23" ht="15" customHeight="1">
      <c r="A26" s="198">
        <v>22</v>
      </c>
      <c r="B26" s="37"/>
      <c r="C26" s="7"/>
      <c r="D26" s="38"/>
      <c r="E26" s="17"/>
      <c r="F26" s="38"/>
      <c r="G26" s="16"/>
      <c r="H26" s="38"/>
      <c r="I26" s="274" t="str">
        <f t="shared" si="17"/>
        <v/>
      </c>
      <c r="J26" s="176"/>
      <c r="K26" s="195" t="str">
        <f t="shared" si="10"/>
        <v/>
      </c>
      <c r="L26" s="32" t="str">
        <f t="shared" si="11"/>
        <v/>
      </c>
      <c r="M26" s="32" t="str">
        <f t="shared" si="12"/>
        <v/>
      </c>
      <c r="N26" s="110" t="str">
        <f t="shared" si="13"/>
        <v/>
      </c>
      <c r="O26" s="32" t="str">
        <f t="shared" si="14"/>
        <v/>
      </c>
      <c r="P26" s="32" t="str">
        <f t="shared" si="15"/>
        <v/>
      </c>
      <c r="Q26" s="32" t="str">
        <f t="shared" si="16"/>
        <v/>
      </c>
      <c r="R26" s="603"/>
      <c r="S26" s="281" t="str">
        <f t="shared" si="7"/>
        <v/>
      </c>
      <c r="T26" s="7"/>
      <c r="U26" s="23" t="str" cm="1">
        <f t="array" ref="U26">IF(OR(S26="",I26=""),"",_xlfn.IFS(
ROUND(IFERROR(VALUE(TRIM(SUBSTITUTE(S26,CHAR(160),""))),0),2)&gt;
ROUND(IFERROR(VALUE(TRIM(SUBSTITUTE(I26,CHAR(160),""))),0),2),
"KO : Le montant retenu est supérieur au montant présenté. Merci de revoir la ligne de contribution ou plafonner son montant.",
ROUND(IFERROR(VALUE(TRIM(SUBSTITUTE(I26,CHAR(160),""))),0),2)=0,
"",
ROUND(IFERROR(VALUE(TRIM(SUBSTITUTE(S26,CHAR(160),""))),0),2)=
ROUND(IFERROR(VALUE(TRIM(SUBSTITUTE(I26,CHAR(160),""))),0),2),
"OK",
ROUND(IFERROR(VALUE(TRIM(SUBSTITUTE(S26,CHAR(160),""))),0),2)=0,
"Attention : Montant présenté entièrement rejeté.",
ROUND(IFERROR(VALUE(TRIM(SUBSTITUTE(S26,CHAR(160),""))),0),2)&lt;
ROUND(IFERROR(VALUE(TRIM(SUBSTITUTE(I26,CHAR(160),""))),0),2),
"Attention : Montant présenté partiellement rejeté.",
TRUE,""
))</f>
        <v/>
      </c>
      <c r="V26" s="32" t="str">
        <f t="shared" si="8"/>
        <v/>
      </c>
    </row>
    <row r="27" spans="1:23" ht="15" customHeight="1">
      <c r="A27" s="198">
        <v>23</v>
      </c>
      <c r="B27" s="37"/>
      <c r="C27" s="7"/>
      <c r="D27" s="38"/>
      <c r="E27" s="17"/>
      <c r="F27" s="38"/>
      <c r="G27" s="16"/>
      <c r="H27" s="38"/>
      <c r="I27" s="274" t="str">
        <f t="shared" si="17"/>
        <v/>
      </c>
      <c r="J27" s="176"/>
      <c r="K27" s="195" t="str">
        <f t="shared" si="10"/>
        <v/>
      </c>
      <c r="L27" s="32" t="str">
        <f t="shared" si="11"/>
        <v/>
      </c>
      <c r="M27" s="32" t="str">
        <f t="shared" si="12"/>
        <v/>
      </c>
      <c r="N27" s="110" t="str">
        <f t="shared" si="13"/>
        <v/>
      </c>
      <c r="O27" s="32" t="str">
        <f t="shared" si="14"/>
        <v/>
      </c>
      <c r="P27" s="32" t="str">
        <f t="shared" si="15"/>
        <v/>
      </c>
      <c r="Q27" s="32" t="str">
        <f t="shared" si="16"/>
        <v/>
      </c>
      <c r="R27" s="603"/>
      <c r="S27" s="281" t="str">
        <f t="shared" si="7"/>
        <v/>
      </c>
      <c r="T27" s="7"/>
      <c r="U27" s="23" t="str" cm="1">
        <f t="array" ref="U27">IF(OR(S27="",I27=""),"",_xlfn.IFS(
ROUND(IFERROR(VALUE(TRIM(SUBSTITUTE(S27,CHAR(160),""))),0),2)&gt;
ROUND(IFERROR(VALUE(TRIM(SUBSTITUTE(I27,CHAR(160),""))),0),2),
"KO : Le montant retenu est supérieur au montant présenté. Merci de revoir la ligne de contribution ou plafonner son montant.",
ROUND(IFERROR(VALUE(TRIM(SUBSTITUTE(I27,CHAR(160),""))),0),2)=0,
"",
ROUND(IFERROR(VALUE(TRIM(SUBSTITUTE(S27,CHAR(160),""))),0),2)=
ROUND(IFERROR(VALUE(TRIM(SUBSTITUTE(I27,CHAR(160),""))),0),2),
"OK",
ROUND(IFERROR(VALUE(TRIM(SUBSTITUTE(S27,CHAR(160),""))),0),2)=0,
"Attention : Montant présenté entièrement rejeté.",
ROUND(IFERROR(VALUE(TRIM(SUBSTITUTE(S27,CHAR(160),""))),0),2)&lt;
ROUND(IFERROR(VALUE(TRIM(SUBSTITUTE(I27,CHAR(160),""))),0),2),
"Attention : Montant présenté partiellement rejeté.",
TRUE,""
))</f>
        <v/>
      </c>
      <c r="V27" s="32" t="str">
        <f t="shared" si="8"/>
        <v/>
      </c>
    </row>
    <row r="28" spans="1:23" ht="15" customHeight="1">
      <c r="A28" s="198">
        <v>24</v>
      </c>
      <c r="B28" s="37"/>
      <c r="C28" s="7"/>
      <c r="D28" s="38"/>
      <c r="E28" s="17"/>
      <c r="F28" s="38"/>
      <c r="G28" s="16"/>
      <c r="H28" s="38"/>
      <c r="I28" s="274" t="str">
        <f t="shared" si="17"/>
        <v/>
      </c>
      <c r="J28" s="176"/>
      <c r="K28" s="195" t="str">
        <f t="shared" si="10"/>
        <v/>
      </c>
      <c r="L28" s="32" t="str">
        <f t="shared" si="11"/>
        <v/>
      </c>
      <c r="M28" s="32" t="str">
        <f t="shared" si="12"/>
        <v/>
      </c>
      <c r="N28" s="110" t="str">
        <f t="shared" si="13"/>
        <v/>
      </c>
      <c r="O28" s="32" t="str">
        <f t="shared" si="14"/>
        <v/>
      </c>
      <c r="P28" s="32" t="str">
        <f t="shared" si="15"/>
        <v/>
      </c>
      <c r="Q28" s="32" t="str">
        <f t="shared" si="16"/>
        <v/>
      </c>
      <c r="R28" s="603"/>
      <c r="S28" s="281" t="str">
        <f t="shared" si="7"/>
        <v/>
      </c>
      <c r="T28" s="7"/>
      <c r="U28" s="23" t="str" cm="1">
        <f t="array" ref="U28">IF(OR(S28="",I28=""),"",_xlfn.IFS(
ROUND(IFERROR(VALUE(TRIM(SUBSTITUTE(S28,CHAR(160),""))),0),2)&gt;
ROUND(IFERROR(VALUE(TRIM(SUBSTITUTE(I28,CHAR(160),""))),0),2),
"KO : Le montant retenu est supérieur au montant présenté. Merci de revoir la ligne de contribution ou plafonner son montant.",
ROUND(IFERROR(VALUE(TRIM(SUBSTITUTE(I28,CHAR(160),""))),0),2)=0,
"",
ROUND(IFERROR(VALUE(TRIM(SUBSTITUTE(S28,CHAR(160),""))),0),2)=
ROUND(IFERROR(VALUE(TRIM(SUBSTITUTE(I28,CHAR(160),""))),0),2),
"OK",
ROUND(IFERROR(VALUE(TRIM(SUBSTITUTE(S28,CHAR(160),""))),0),2)=0,
"Attention : Montant présenté entièrement rejeté.",
ROUND(IFERROR(VALUE(TRIM(SUBSTITUTE(S28,CHAR(160),""))),0),2)&lt;
ROUND(IFERROR(VALUE(TRIM(SUBSTITUTE(I28,CHAR(160),""))),0),2),
"Attention : Montant présenté partiellement rejeté.",
TRUE,""
))</f>
        <v/>
      </c>
      <c r="V28" s="32" t="str">
        <f t="shared" si="8"/>
        <v/>
      </c>
    </row>
    <row r="29" spans="1:23" ht="15" customHeight="1">
      <c r="A29" s="198">
        <v>25</v>
      </c>
      <c r="B29" s="37"/>
      <c r="C29" s="7"/>
      <c r="D29" s="38"/>
      <c r="E29" s="17"/>
      <c r="F29" s="38"/>
      <c r="G29" s="16"/>
      <c r="H29" s="38"/>
      <c r="I29" s="274" t="str">
        <f t="shared" si="17"/>
        <v/>
      </c>
      <c r="J29" s="176"/>
      <c r="K29" s="195" t="str">
        <f t="shared" si="10"/>
        <v/>
      </c>
      <c r="L29" s="32" t="str">
        <f t="shared" si="11"/>
        <v/>
      </c>
      <c r="M29" s="32" t="str">
        <f t="shared" si="12"/>
        <v/>
      </c>
      <c r="N29" s="110" t="str">
        <f t="shared" si="13"/>
        <v/>
      </c>
      <c r="O29" s="32" t="str">
        <f t="shared" si="14"/>
        <v/>
      </c>
      <c r="P29" s="32" t="str">
        <f t="shared" si="15"/>
        <v/>
      </c>
      <c r="Q29" s="32" t="str">
        <f t="shared" si="16"/>
        <v/>
      </c>
      <c r="R29" s="603"/>
      <c r="S29" s="281" t="str">
        <f t="shared" si="7"/>
        <v/>
      </c>
      <c r="T29" s="7"/>
      <c r="U29" s="23" t="str" cm="1">
        <f t="array" ref="U29">IF(OR(S29="",I29=""),"",_xlfn.IFS(
ROUND(IFERROR(VALUE(TRIM(SUBSTITUTE(S29,CHAR(160),""))),0),2)&gt;
ROUND(IFERROR(VALUE(TRIM(SUBSTITUTE(I29,CHAR(160),""))),0),2),
"KO : Le montant retenu est supérieur au montant présenté. Merci de revoir la ligne de contribution ou plafonner son montant.",
ROUND(IFERROR(VALUE(TRIM(SUBSTITUTE(I29,CHAR(160),""))),0),2)=0,
"",
ROUND(IFERROR(VALUE(TRIM(SUBSTITUTE(S29,CHAR(160),""))),0),2)=
ROUND(IFERROR(VALUE(TRIM(SUBSTITUTE(I29,CHAR(160),""))),0),2),
"OK",
ROUND(IFERROR(VALUE(TRIM(SUBSTITUTE(S29,CHAR(160),""))),0),2)=0,
"Attention : Montant présenté entièrement rejeté.",
ROUND(IFERROR(VALUE(TRIM(SUBSTITUTE(S29,CHAR(160),""))),0),2)&lt;
ROUND(IFERROR(VALUE(TRIM(SUBSTITUTE(I29,CHAR(160),""))),0),2),
"Attention : Montant présenté partiellement rejeté.",
TRUE,""
))</f>
        <v/>
      </c>
      <c r="V29" s="32" t="str">
        <f t="shared" si="8"/>
        <v/>
      </c>
    </row>
    <row r="30" spans="1:23" ht="15" customHeight="1">
      <c r="A30" s="198">
        <v>26</v>
      </c>
      <c r="B30" s="37"/>
      <c r="C30" s="7"/>
      <c r="D30" s="38"/>
      <c r="E30" s="17"/>
      <c r="F30" s="38"/>
      <c r="G30" s="16"/>
      <c r="H30" s="38"/>
      <c r="I30" s="274" t="str">
        <f t="shared" si="17"/>
        <v/>
      </c>
      <c r="J30" s="176"/>
      <c r="K30" s="195" t="str">
        <f t="shared" si="10"/>
        <v/>
      </c>
      <c r="L30" s="32" t="str">
        <f t="shared" si="11"/>
        <v/>
      </c>
      <c r="M30" s="32" t="str">
        <f t="shared" si="12"/>
        <v/>
      </c>
      <c r="N30" s="110" t="str">
        <f t="shared" si="13"/>
        <v/>
      </c>
      <c r="O30" s="32" t="str">
        <f t="shared" si="14"/>
        <v/>
      </c>
      <c r="P30" s="32" t="str">
        <f t="shared" si="15"/>
        <v/>
      </c>
      <c r="Q30" s="32" t="str">
        <f t="shared" si="16"/>
        <v/>
      </c>
      <c r="R30" s="603"/>
      <c r="S30" s="281" t="str">
        <f t="shared" si="7"/>
        <v/>
      </c>
      <c r="T30" s="7"/>
      <c r="U30" s="23" t="str" cm="1">
        <f t="array" ref="U30">IF(OR(S30="",I30=""),"",_xlfn.IFS(
ROUND(IFERROR(VALUE(TRIM(SUBSTITUTE(S30,CHAR(160),""))),0),2)&gt;
ROUND(IFERROR(VALUE(TRIM(SUBSTITUTE(I30,CHAR(160),""))),0),2),
"KO : Le montant retenu est supérieur au montant présenté. Merci de revoir la ligne de contribution ou plafonner son montant.",
ROUND(IFERROR(VALUE(TRIM(SUBSTITUTE(I30,CHAR(160),""))),0),2)=0,
"",
ROUND(IFERROR(VALUE(TRIM(SUBSTITUTE(S30,CHAR(160),""))),0),2)=
ROUND(IFERROR(VALUE(TRIM(SUBSTITUTE(I30,CHAR(160),""))),0),2),
"OK",
ROUND(IFERROR(VALUE(TRIM(SUBSTITUTE(S30,CHAR(160),""))),0),2)=0,
"Attention : Montant présenté entièrement rejeté.",
ROUND(IFERROR(VALUE(TRIM(SUBSTITUTE(S30,CHAR(160),""))),0),2)&lt;
ROUND(IFERROR(VALUE(TRIM(SUBSTITUTE(I30,CHAR(160),""))),0),2),
"Attention : Montant présenté partiellement rejeté.",
TRUE,""
))</f>
        <v/>
      </c>
      <c r="V30" s="32" t="str">
        <f t="shared" si="8"/>
        <v/>
      </c>
    </row>
    <row r="31" spans="1:23" ht="15" customHeight="1">
      <c r="A31" s="198">
        <v>27</v>
      </c>
      <c r="B31" s="37"/>
      <c r="C31" s="7"/>
      <c r="D31" s="38"/>
      <c r="E31" s="17"/>
      <c r="F31" s="38"/>
      <c r="G31" s="16"/>
      <c r="H31" s="38"/>
      <c r="I31" s="274" t="str">
        <f t="shared" si="17"/>
        <v/>
      </c>
      <c r="J31" s="176"/>
      <c r="K31" s="195" t="str">
        <f t="shared" si="10"/>
        <v/>
      </c>
      <c r="L31" s="32" t="str">
        <f t="shared" si="11"/>
        <v/>
      </c>
      <c r="M31" s="32" t="str">
        <f t="shared" si="12"/>
        <v/>
      </c>
      <c r="N31" s="110" t="str">
        <f t="shared" si="13"/>
        <v/>
      </c>
      <c r="O31" s="32" t="str">
        <f t="shared" si="14"/>
        <v/>
      </c>
      <c r="P31" s="32" t="str">
        <f t="shared" si="15"/>
        <v/>
      </c>
      <c r="Q31" s="32" t="str">
        <f t="shared" si="16"/>
        <v/>
      </c>
      <c r="R31" s="603"/>
      <c r="S31" s="281" t="str">
        <f t="shared" si="7"/>
        <v/>
      </c>
      <c r="T31" s="7"/>
      <c r="U31" s="23" t="str" cm="1">
        <f t="array" ref="U31">IF(OR(S31="",I31=""),"",_xlfn.IFS(
ROUND(IFERROR(VALUE(TRIM(SUBSTITUTE(S31,CHAR(160),""))),0),2)&gt;
ROUND(IFERROR(VALUE(TRIM(SUBSTITUTE(I31,CHAR(160),""))),0),2),
"KO : Le montant retenu est supérieur au montant présenté. Merci de revoir la ligne de contribution ou plafonner son montant.",
ROUND(IFERROR(VALUE(TRIM(SUBSTITUTE(I31,CHAR(160),""))),0),2)=0,
"",
ROUND(IFERROR(VALUE(TRIM(SUBSTITUTE(S31,CHAR(160),""))),0),2)=
ROUND(IFERROR(VALUE(TRIM(SUBSTITUTE(I31,CHAR(160),""))),0),2),
"OK",
ROUND(IFERROR(VALUE(TRIM(SUBSTITUTE(S31,CHAR(160),""))),0),2)=0,
"Attention : Montant présenté entièrement rejeté.",
ROUND(IFERROR(VALUE(TRIM(SUBSTITUTE(S31,CHAR(160),""))),0),2)&lt;
ROUND(IFERROR(VALUE(TRIM(SUBSTITUTE(I31,CHAR(160),""))),0),2),
"Attention : Montant présenté partiellement rejeté.",
TRUE,""
))</f>
        <v/>
      </c>
      <c r="V31" s="32" t="str">
        <f t="shared" si="8"/>
        <v/>
      </c>
    </row>
    <row r="32" spans="1:23" ht="15" customHeight="1">
      <c r="A32" s="198">
        <v>28</v>
      </c>
      <c r="B32" s="37"/>
      <c r="C32" s="7"/>
      <c r="D32" s="38"/>
      <c r="E32" s="17"/>
      <c r="F32" s="38"/>
      <c r="G32" s="16"/>
      <c r="H32" s="38"/>
      <c r="I32" s="274" t="str">
        <f t="shared" si="17"/>
        <v/>
      </c>
      <c r="J32" s="176"/>
      <c r="K32" s="195" t="str">
        <f t="shared" si="10"/>
        <v/>
      </c>
      <c r="L32" s="32" t="str">
        <f t="shared" si="11"/>
        <v/>
      </c>
      <c r="M32" s="32" t="str">
        <f t="shared" si="12"/>
        <v/>
      </c>
      <c r="N32" s="110" t="str">
        <f t="shared" si="13"/>
        <v/>
      </c>
      <c r="O32" s="32" t="str">
        <f t="shared" si="14"/>
        <v/>
      </c>
      <c r="P32" s="32" t="str">
        <f t="shared" si="15"/>
        <v/>
      </c>
      <c r="Q32" s="32" t="str">
        <f t="shared" si="16"/>
        <v/>
      </c>
      <c r="R32" s="603"/>
      <c r="S32" s="281" t="str">
        <f t="shared" si="7"/>
        <v/>
      </c>
      <c r="T32" s="7"/>
      <c r="U32" s="23" t="str" cm="1">
        <f t="array" ref="U32">IF(OR(S32="",I32=""),"",_xlfn.IFS(
ROUND(IFERROR(VALUE(TRIM(SUBSTITUTE(S32,CHAR(160),""))),0),2)&gt;
ROUND(IFERROR(VALUE(TRIM(SUBSTITUTE(I32,CHAR(160),""))),0),2),
"KO : Le montant retenu est supérieur au montant présenté. Merci de revoir la ligne de contribution ou plafonner son montant.",
ROUND(IFERROR(VALUE(TRIM(SUBSTITUTE(I32,CHAR(160),""))),0),2)=0,
"",
ROUND(IFERROR(VALUE(TRIM(SUBSTITUTE(S32,CHAR(160),""))),0),2)=
ROUND(IFERROR(VALUE(TRIM(SUBSTITUTE(I32,CHAR(160),""))),0),2),
"OK",
ROUND(IFERROR(VALUE(TRIM(SUBSTITUTE(S32,CHAR(160),""))),0),2)=0,
"Attention : Montant présenté entièrement rejeté.",
ROUND(IFERROR(VALUE(TRIM(SUBSTITUTE(S32,CHAR(160),""))),0),2)&lt;
ROUND(IFERROR(VALUE(TRIM(SUBSTITUTE(I32,CHAR(160),""))),0),2),
"Attention : Montant présenté partiellement rejeté.",
TRUE,""
))</f>
        <v/>
      </c>
      <c r="V32" s="32" t="str">
        <f t="shared" si="8"/>
        <v/>
      </c>
    </row>
    <row r="33" spans="1:22" ht="15" customHeight="1">
      <c r="A33" s="198">
        <v>29</v>
      </c>
      <c r="B33" s="37"/>
      <c r="C33" s="7"/>
      <c r="D33" s="38"/>
      <c r="E33" s="17"/>
      <c r="F33" s="38"/>
      <c r="G33" s="16"/>
      <c r="H33" s="38"/>
      <c r="I33" s="274" t="str">
        <f t="shared" si="17"/>
        <v/>
      </c>
      <c r="J33" s="176"/>
      <c r="K33" s="195" t="str">
        <f t="shared" si="10"/>
        <v/>
      </c>
      <c r="L33" s="32" t="str">
        <f t="shared" si="11"/>
        <v/>
      </c>
      <c r="M33" s="32" t="str">
        <f t="shared" si="12"/>
        <v/>
      </c>
      <c r="N33" s="110" t="str">
        <f t="shared" si="13"/>
        <v/>
      </c>
      <c r="O33" s="32" t="str">
        <f t="shared" si="14"/>
        <v/>
      </c>
      <c r="P33" s="32" t="str">
        <f t="shared" si="15"/>
        <v/>
      </c>
      <c r="Q33" s="32" t="str">
        <f t="shared" si="16"/>
        <v/>
      </c>
      <c r="R33" s="603"/>
      <c r="S33" s="281" t="str">
        <f t="shared" si="7"/>
        <v/>
      </c>
      <c r="T33" s="7"/>
      <c r="U33" s="23" t="str" cm="1">
        <f t="array" ref="U33">IF(OR(S33="",I33=""),"",_xlfn.IFS(
ROUND(IFERROR(VALUE(TRIM(SUBSTITUTE(S33,CHAR(160),""))),0),2)&gt;
ROUND(IFERROR(VALUE(TRIM(SUBSTITUTE(I33,CHAR(160),""))),0),2),
"KO : Le montant retenu est supérieur au montant présenté. Merci de revoir la ligne de contribution ou plafonner son montant.",
ROUND(IFERROR(VALUE(TRIM(SUBSTITUTE(I33,CHAR(160),""))),0),2)=0,
"",
ROUND(IFERROR(VALUE(TRIM(SUBSTITUTE(S33,CHAR(160),""))),0),2)=
ROUND(IFERROR(VALUE(TRIM(SUBSTITUTE(I33,CHAR(160),""))),0),2),
"OK",
ROUND(IFERROR(VALUE(TRIM(SUBSTITUTE(S33,CHAR(160),""))),0),2)=0,
"Attention : Montant présenté entièrement rejeté.",
ROUND(IFERROR(VALUE(TRIM(SUBSTITUTE(S33,CHAR(160),""))),0),2)&lt;
ROUND(IFERROR(VALUE(TRIM(SUBSTITUTE(I33,CHAR(160),""))),0),2),
"Attention : Montant présenté partiellement rejeté.",
TRUE,""
))</f>
        <v/>
      </c>
      <c r="V33" s="32" t="str">
        <f t="shared" si="8"/>
        <v/>
      </c>
    </row>
    <row r="34" spans="1:22" ht="15" customHeight="1">
      <c r="A34" s="198">
        <v>30</v>
      </c>
      <c r="B34" s="37"/>
      <c r="C34" s="7"/>
      <c r="D34" s="38"/>
      <c r="E34" s="17"/>
      <c r="F34" s="38"/>
      <c r="G34" s="16"/>
      <c r="H34" s="38"/>
      <c r="I34" s="274" t="str">
        <f t="shared" si="17"/>
        <v/>
      </c>
      <c r="J34" s="176"/>
      <c r="K34" s="195" t="str">
        <f t="shared" si="10"/>
        <v/>
      </c>
      <c r="L34" s="32" t="str">
        <f t="shared" si="11"/>
        <v/>
      </c>
      <c r="M34" s="32" t="str">
        <f t="shared" si="12"/>
        <v/>
      </c>
      <c r="N34" s="110" t="str">
        <f t="shared" si="13"/>
        <v/>
      </c>
      <c r="O34" s="32" t="str">
        <f t="shared" si="14"/>
        <v/>
      </c>
      <c r="P34" s="32" t="str">
        <f t="shared" si="15"/>
        <v/>
      </c>
      <c r="Q34" s="32" t="str">
        <f t="shared" si="16"/>
        <v/>
      </c>
      <c r="R34" s="603"/>
      <c r="S34" s="281" t="str">
        <f t="shared" si="7"/>
        <v/>
      </c>
      <c r="T34" s="7"/>
      <c r="U34" s="23" t="str" cm="1">
        <f t="array" ref="U34">IF(OR(S34="",I34=""),"",_xlfn.IFS(
ROUND(IFERROR(VALUE(TRIM(SUBSTITUTE(S34,CHAR(160),""))),0),2)&gt;
ROUND(IFERROR(VALUE(TRIM(SUBSTITUTE(I34,CHAR(160),""))),0),2),
"KO : Le montant retenu est supérieur au montant présenté. Merci de revoir la ligne de contribution ou plafonner son montant.",
ROUND(IFERROR(VALUE(TRIM(SUBSTITUTE(I34,CHAR(160),""))),0),2)=0,
"",
ROUND(IFERROR(VALUE(TRIM(SUBSTITUTE(S34,CHAR(160),""))),0),2)=
ROUND(IFERROR(VALUE(TRIM(SUBSTITUTE(I34,CHAR(160),""))),0),2),
"OK",
ROUND(IFERROR(VALUE(TRIM(SUBSTITUTE(S34,CHAR(160),""))),0),2)=0,
"Attention : Montant présenté entièrement rejeté.",
ROUND(IFERROR(VALUE(TRIM(SUBSTITUTE(S34,CHAR(160),""))),0),2)&lt;
ROUND(IFERROR(VALUE(TRIM(SUBSTITUTE(I34,CHAR(160),""))),0),2),
"Attention : Montant présenté partiellement rejeté.",
TRUE,""
))</f>
        <v/>
      </c>
      <c r="V34" s="32" t="str">
        <f t="shared" si="8"/>
        <v/>
      </c>
    </row>
    <row r="35" spans="1:22" ht="15" customHeight="1">
      <c r="A35" s="198">
        <v>31</v>
      </c>
      <c r="B35" s="37"/>
      <c r="C35" s="7"/>
      <c r="D35" s="38"/>
      <c r="E35" s="17"/>
      <c r="F35" s="38"/>
      <c r="G35" s="16"/>
      <c r="H35" s="38"/>
      <c r="I35" s="274" t="str">
        <f t="shared" si="17"/>
        <v/>
      </c>
      <c r="J35" s="176"/>
      <c r="K35" s="195" t="str">
        <f t="shared" si="10"/>
        <v/>
      </c>
      <c r="L35" s="32" t="str">
        <f t="shared" si="11"/>
        <v/>
      </c>
      <c r="M35" s="32" t="str">
        <f t="shared" si="12"/>
        <v/>
      </c>
      <c r="N35" s="110" t="str">
        <f t="shared" si="13"/>
        <v/>
      </c>
      <c r="O35" s="32" t="str">
        <f t="shared" si="14"/>
        <v/>
      </c>
      <c r="P35" s="32" t="str">
        <f t="shared" si="15"/>
        <v/>
      </c>
      <c r="Q35" s="32" t="str">
        <f t="shared" si="16"/>
        <v/>
      </c>
      <c r="R35" s="603"/>
      <c r="S35" s="281" t="str">
        <f t="shared" si="7"/>
        <v/>
      </c>
      <c r="T35" s="7"/>
      <c r="U35" s="23" t="str" cm="1">
        <f t="array" ref="U35">IF(OR(S35="",I35=""),"",_xlfn.IFS(
ROUND(IFERROR(VALUE(TRIM(SUBSTITUTE(S35,CHAR(160),""))),0),2)&gt;
ROUND(IFERROR(VALUE(TRIM(SUBSTITUTE(I35,CHAR(160),""))),0),2),
"KO : Le montant retenu est supérieur au montant présenté. Merci de revoir la ligne de contribution ou plafonner son montant.",
ROUND(IFERROR(VALUE(TRIM(SUBSTITUTE(I35,CHAR(160),""))),0),2)=0,
"",
ROUND(IFERROR(VALUE(TRIM(SUBSTITUTE(S35,CHAR(160),""))),0),2)=
ROUND(IFERROR(VALUE(TRIM(SUBSTITUTE(I35,CHAR(160),""))),0),2),
"OK",
ROUND(IFERROR(VALUE(TRIM(SUBSTITUTE(S35,CHAR(160),""))),0),2)=0,
"Attention : Montant présenté entièrement rejeté.",
ROUND(IFERROR(VALUE(TRIM(SUBSTITUTE(S35,CHAR(160),""))),0),2)&lt;
ROUND(IFERROR(VALUE(TRIM(SUBSTITUTE(I35,CHAR(160),""))),0),2),
"Attention : Montant présenté partiellement rejeté.",
TRUE,""
))</f>
        <v/>
      </c>
      <c r="V35" s="32" t="str">
        <f t="shared" si="8"/>
        <v/>
      </c>
    </row>
    <row r="36" spans="1:22" ht="15" customHeight="1">
      <c r="A36" s="198">
        <v>32</v>
      </c>
      <c r="B36" s="37"/>
      <c r="C36" s="7"/>
      <c r="D36" s="38"/>
      <c r="E36" s="17"/>
      <c r="F36" s="38"/>
      <c r="G36" s="16"/>
      <c r="H36" s="38"/>
      <c r="I36" s="274" t="str">
        <f t="shared" si="17"/>
        <v/>
      </c>
      <c r="J36" s="176"/>
      <c r="K36" s="195" t="str">
        <f t="shared" si="10"/>
        <v/>
      </c>
      <c r="L36" s="32" t="str">
        <f t="shared" si="11"/>
        <v/>
      </c>
      <c r="M36" s="32" t="str">
        <f t="shared" si="12"/>
        <v/>
      </c>
      <c r="N36" s="110" t="str">
        <f t="shared" si="13"/>
        <v/>
      </c>
      <c r="O36" s="32" t="str">
        <f t="shared" si="14"/>
        <v/>
      </c>
      <c r="P36" s="32" t="str">
        <f t="shared" si="15"/>
        <v/>
      </c>
      <c r="Q36" s="32" t="str">
        <f t="shared" si="16"/>
        <v/>
      </c>
      <c r="R36" s="603"/>
      <c r="S36" s="281" t="str">
        <f t="shared" ref="S36:S67" si="18">IF(OR(N36="",P36=""),"",IF(IFERROR(VALUE(TRIM(SUBSTITUTE(N36,CHAR(160),""))),0)*IFERROR(VALUE(TRIM(SUBSTITUTE(P36,CHAR(160),""))),0)=0,"",IFERROR(VALUE(TRIM(SUBSTITUTE(N36,CHAR(160),""))),0)*IFERROR(VALUE(TRIM(SUBSTITUTE(P36,CHAR(160),""))),0)))</f>
        <v/>
      </c>
      <c r="T36" s="7"/>
      <c r="U36" s="23" t="str" cm="1">
        <f t="array" ref="U36">IF(OR(S36="",I36=""),"",_xlfn.IFS(
ROUND(IFERROR(VALUE(TRIM(SUBSTITUTE(S36,CHAR(160),""))),0),2)&gt;
ROUND(IFERROR(VALUE(TRIM(SUBSTITUTE(I36,CHAR(160),""))),0),2),
"KO : Le montant retenu est supérieur au montant présenté. Merci de revoir la ligne de contribution ou plafonner son montant.",
ROUND(IFERROR(VALUE(TRIM(SUBSTITUTE(I36,CHAR(160),""))),0),2)=0,
"",
ROUND(IFERROR(VALUE(TRIM(SUBSTITUTE(S36,CHAR(160),""))),0),2)=
ROUND(IFERROR(VALUE(TRIM(SUBSTITUTE(I36,CHAR(160),""))),0),2),
"OK",
ROUND(IFERROR(VALUE(TRIM(SUBSTITUTE(S36,CHAR(160),""))),0),2)=0,
"Attention : Montant présenté entièrement rejeté.",
ROUND(IFERROR(VALUE(TRIM(SUBSTITUTE(S36,CHAR(160),""))),0),2)&lt;
ROUND(IFERROR(VALUE(TRIM(SUBSTITUTE(I36,CHAR(160),""))),0),2),
"Attention : Montant présenté partiellement rejeté.",
TRUE,""
))</f>
        <v/>
      </c>
      <c r="V36" s="32" t="str">
        <f t="shared" ref="V36:V67" si="19">IF(OR(I36="",S36=""),"",(IFERROR(VALUE(TRIM(SUBSTITUTE(I36,CHAR(160),""))),0))-(IFERROR(VALUE(TRIM(SUBSTITUTE(S36,CHAR(160),""))),0)))</f>
        <v/>
      </c>
    </row>
    <row r="37" spans="1:22" ht="15" customHeight="1">
      <c r="A37" s="198">
        <v>33</v>
      </c>
      <c r="B37" s="37"/>
      <c r="C37" s="7"/>
      <c r="D37" s="38"/>
      <c r="E37" s="17"/>
      <c r="F37" s="38"/>
      <c r="G37" s="16"/>
      <c r="H37" s="38"/>
      <c r="I37" s="274" t="str">
        <f t="shared" si="17"/>
        <v/>
      </c>
      <c r="J37" s="176"/>
      <c r="K37" s="195" t="str">
        <f t="shared" si="10"/>
        <v/>
      </c>
      <c r="L37" s="32" t="str">
        <f t="shared" si="11"/>
        <v/>
      </c>
      <c r="M37" s="32" t="str">
        <f t="shared" si="12"/>
        <v/>
      </c>
      <c r="N37" s="110" t="str">
        <f t="shared" si="13"/>
        <v/>
      </c>
      <c r="O37" s="32" t="str">
        <f t="shared" si="14"/>
        <v/>
      </c>
      <c r="P37" s="32" t="str">
        <f t="shared" si="15"/>
        <v/>
      </c>
      <c r="Q37" s="32" t="str">
        <f t="shared" si="16"/>
        <v/>
      </c>
      <c r="R37" s="603"/>
      <c r="S37" s="281" t="str">
        <f t="shared" si="18"/>
        <v/>
      </c>
      <c r="T37" s="7"/>
      <c r="U37" s="23" t="str" cm="1">
        <f t="array" ref="U37">IF(OR(S37="",I37=""),"",_xlfn.IFS(
ROUND(IFERROR(VALUE(TRIM(SUBSTITUTE(S37,CHAR(160),""))),0),2)&gt;
ROUND(IFERROR(VALUE(TRIM(SUBSTITUTE(I37,CHAR(160),""))),0),2),
"KO : Le montant retenu est supérieur au montant présenté. Merci de revoir la ligne de contribution ou plafonner son montant.",
ROUND(IFERROR(VALUE(TRIM(SUBSTITUTE(I37,CHAR(160),""))),0),2)=0,
"",
ROUND(IFERROR(VALUE(TRIM(SUBSTITUTE(S37,CHAR(160),""))),0),2)=
ROUND(IFERROR(VALUE(TRIM(SUBSTITUTE(I37,CHAR(160),""))),0),2),
"OK",
ROUND(IFERROR(VALUE(TRIM(SUBSTITUTE(S37,CHAR(160),""))),0),2)=0,
"Attention : Montant présenté entièrement rejeté.",
ROUND(IFERROR(VALUE(TRIM(SUBSTITUTE(S37,CHAR(160),""))),0),2)&lt;
ROUND(IFERROR(VALUE(TRIM(SUBSTITUTE(I37,CHAR(160),""))),0),2),
"Attention : Montant présenté partiellement rejeté.",
TRUE,""
))</f>
        <v/>
      </c>
      <c r="V37" s="32" t="str">
        <f t="shared" si="19"/>
        <v/>
      </c>
    </row>
    <row r="38" spans="1:22" ht="15" customHeight="1">
      <c r="A38" s="198">
        <v>34</v>
      </c>
      <c r="B38" s="37"/>
      <c r="C38" s="7"/>
      <c r="D38" s="38"/>
      <c r="E38" s="17"/>
      <c r="F38" s="38"/>
      <c r="G38" s="16"/>
      <c r="H38" s="38"/>
      <c r="I38" s="274" t="str">
        <f t="shared" si="17"/>
        <v/>
      </c>
      <c r="J38" s="176"/>
      <c r="K38" s="195" t="str">
        <f t="shared" si="10"/>
        <v/>
      </c>
      <c r="L38" s="32" t="str">
        <f t="shared" si="11"/>
        <v/>
      </c>
      <c r="M38" s="32" t="str">
        <f t="shared" si="12"/>
        <v/>
      </c>
      <c r="N38" s="110" t="str">
        <f t="shared" si="13"/>
        <v/>
      </c>
      <c r="O38" s="32" t="str">
        <f t="shared" si="14"/>
        <v/>
      </c>
      <c r="P38" s="32" t="str">
        <f t="shared" si="15"/>
        <v/>
      </c>
      <c r="Q38" s="32" t="str">
        <f t="shared" si="16"/>
        <v/>
      </c>
      <c r="R38" s="603"/>
      <c r="S38" s="281" t="str">
        <f t="shared" si="18"/>
        <v/>
      </c>
      <c r="T38" s="7"/>
      <c r="U38" s="23" t="str" cm="1">
        <f t="array" ref="U38">IF(OR(S38="",I38=""),"",_xlfn.IFS(
ROUND(IFERROR(VALUE(TRIM(SUBSTITUTE(S38,CHAR(160),""))),0),2)&gt;
ROUND(IFERROR(VALUE(TRIM(SUBSTITUTE(I38,CHAR(160),""))),0),2),
"KO : Le montant retenu est supérieur au montant présenté. Merci de revoir la ligne de contribution ou plafonner son montant.",
ROUND(IFERROR(VALUE(TRIM(SUBSTITUTE(I38,CHAR(160),""))),0),2)=0,
"",
ROUND(IFERROR(VALUE(TRIM(SUBSTITUTE(S38,CHAR(160),""))),0),2)=
ROUND(IFERROR(VALUE(TRIM(SUBSTITUTE(I38,CHAR(160),""))),0),2),
"OK",
ROUND(IFERROR(VALUE(TRIM(SUBSTITUTE(S38,CHAR(160),""))),0),2)=0,
"Attention : Montant présenté entièrement rejeté.",
ROUND(IFERROR(VALUE(TRIM(SUBSTITUTE(S38,CHAR(160),""))),0),2)&lt;
ROUND(IFERROR(VALUE(TRIM(SUBSTITUTE(I38,CHAR(160),""))),0),2),
"Attention : Montant présenté partiellement rejeté.",
TRUE,""
))</f>
        <v/>
      </c>
      <c r="V38" s="32" t="str">
        <f t="shared" si="19"/>
        <v/>
      </c>
    </row>
    <row r="39" spans="1:22" ht="15" customHeight="1">
      <c r="A39" s="198">
        <v>35</v>
      </c>
      <c r="B39" s="37"/>
      <c r="C39" s="7"/>
      <c r="D39" s="38"/>
      <c r="E39" s="17"/>
      <c r="F39" s="38"/>
      <c r="G39" s="16"/>
      <c r="H39" s="38"/>
      <c r="I39" s="274" t="str">
        <f t="shared" si="17"/>
        <v/>
      </c>
      <c r="J39" s="176"/>
      <c r="K39" s="195" t="str">
        <f t="shared" si="10"/>
        <v/>
      </c>
      <c r="L39" s="32" t="str">
        <f t="shared" si="11"/>
        <v/>
      </c>
      <c r="M39" s="32" t="str">
        <f t="shared" si="12"/>
        <v/>
      </c>
      <c r="N39" s="110" t="str">
        <f t="shared" si="13"/>
        <v/>
      </c>
      <c r="O39" s="32" t="str">
        <f t="shared" si="14"/>
        <v/>
      </c>
      <c r="P39" s="32" t="str">
        <f t="shared" si="15"/>
        <v/>
      </c>
      <c r="Q39" s="32" t="str">
        <f t="shared" si="16"/>
        <v/>
      </c>
      <c r="R39" s="603"/>
      <c r="S39" s="281" t="str">
        <f t="shared" si="18"/>
        <v/>
      </c>
      <c r="T39" s="7"/>
      <c r="U39" s="23" t="str" cm="1">
        <f t="array" ref="U39">IF(OR(S39="",I39=""),"",_xlfn.IFS(
ROUND(IFERROR(VALUE(TRIM(SUBSTITUTE(S39,CHAR(160),""))),0),2)&gt;
ROUND(IFERROR(VALUE(TRIM(SUBSTITUTE(I39,CHAR(160),""))),0),2),
"KO : Le montant retenu est supérieur au montant présenté. Merci de revoir la ligne de contribution ou plafonner son montant.",
ROUND(IFERROR(VALUE(TRIM(SUBSTITUTE(I39,CHAR(160),""))),0),2)=0,
"",
ROUND(IFERROR(VALUE(TRIM(SUBSTITUTE(S39,CHAR(160),""))),0),2)=
ROUND(IFERROR(VALUE(TRIM(SUBSTITUTE(I39,CHAR(160),""))),0),2),
"OK",
ROUND(IFERROR(VALUE(TRIM(SUBSTITUTE(S39,CHAR(160),""))),0),2)=0,
"Attention : Montant présenté entièrement rejeté.",
ROUND(IFERROR(VALUE(TRIM(SUBSTITUTE(S39,CHAR(160),""))),0),2)&lt;
ROUND(IFERROR(VALUE(TRIM(SUBSTITUTE(I39,CHAR(160),""))),0),2),
"Attention : Montant présenté partiellement rejeté.",
TRUE,""
))</f>
        <v/>
      </c>
      <c r="V39" s="32" t="str">
        <f t="shared" si="19"/>
        <v/>
      </c>
    </row>
    <row r="40" spans="1:22" ht="15" customHeight="1">
      <c r="A40" s="198">
        <v>36</v>
      </c>
      <c r="B40" s="37"/>
      <c r="C40" s="7"/>
      <c r="D40" s="38"/>
      <c r="E40" s="17"/>
      <c r="F40" s="38"/>
      <c r="G40" s="16"/>
      <c r="H40" s="38"/>
      <c r="I40" s="274" t="str">
        <f t="shared" si="17"/>
        <v/>
      </c>
      <c r="J40" s="176"/>
      <c r="K40" s="195" t="str">
        <f t="shared" si="10"/>
        <v/>
      </c>
      <c r="L40" s="32" t="str">
        <f t="shared" si="11"/>
        <v/>
      </c>
      <c r="M40" s="32" t="str">
        <f t="shared" si="12"/>
        <v/>
      </c>
      <c r="N40" s="110" t="str">
        <f t="shared" si="13"/>
        <v/>
      </c>
      <c r="O40" s="32" t="str">
        <f t="shared" si="14"/>
        <v/>
      </c>
      <c r="P40" s="32" t="str">
        <f t="shared" si="15"/>
        <v/>
      </c>
      <c r="Q40" s="32" t="str">
        <f t="shared" si="16"/>
        <v/>
      </c>
      <c r="R40" s="603"/>
      <c r="S40" s="281" t="str">
        <f t="shared" si="18"/>
        <v/>
      </c>
      <c r="T40" s="7"/>
      <c r="U40" s="23" t="str" cm="1">
        <f t="array" ref="U40">IF(OR(S40="",I40=""),"",_xlfn.IFS(
ROUND(IFERROR(VALUE(TRIM(SUBSTITUTE(S40,CHAR(160),""))),0),2)&gt;
ROUND(IFERROR(VALUE(TRIM(SUBSTITUTE(I40,CHAR(160),""))),0),2),
"KO : Le montant retenu est supérieur au montant présenté. Merci de revoir la ligne de contribution ou plafonner son montant.",
ROUND(IFERROR(VALUE(TRIM(SUBSTITUTE(I40,CHAR(160),""))),0),2)=0,
"",
ROUND(IFERROR(VALUE(TRIM(SUBSTITUTE(S40,CHAR(160),""))),0),2)=
ROUND(IFERROR(VALUE(TRIM(SUBSTITUTE(I40,CHAR(160),""))),0),2),
"OK",
ROUND(IFERROR(VALUE(TRIM(SUBSTITUTE(S40,CHAR(160),""))),0),2)=0,
"Attention : Montant présenté entièrement rejeté.",
ROUND(IFERROR(VALUE(TRIM(SUBSTITUTE(S40,CHAR(160),""))),0),2)&lt;
ROUND(IFERROR(VALUE(TRIM(SUBSTITUTE(I40,CHAR(160),""))),0),2),
"Attention : Montant présenté partiellement rejeté.",
TRUE,""
))</f>
        <v/>
      </c>
      <c r="V40" s="32" t="str">
        <f t="shared" si="19"/>
        <v/>
      </c>
    </row>
    <row r="41" spans="1:22" ht="15" customHeight="1">
      <c r="A41" s="198">
        <v>37</v>
      </c>
      <c r="B41" s="37"/>
      <c r="C41" s="7"/>
      <c r="D41" s="38"/>
      <c r="E41" s="17"/>
      <c r="F41" s="38"/>
      <c r="G41" s="16"/>
      <c r="H41" s="38"/>
      <c r="I41" s="274" t="str">
        <f t="shared" si="17"/>
        <v/>
      </c>
      <c r="J41" s="176"/>
      <c r="K41" s="195" t="str">
        <f t="shared" si="10"/>
        <v/>
      </c>
      <c r="L41" s="32" t="str">
        <f t="shared" si="11"/>
        <v/>
      </c>
      <c r="M41" s="32" t="str">
        <f t="shared" si="12"/>
        <v/>
      </c>
      <c r="N41" s="110" t="str">
        <f t="shared" si="13"/>
        <v/>
      </c>
      <c r="O41" s="32" t="str">
        <f t="shared" si="14"/>
        <v/>
      </c>
      <c r="P41" s="32" t="str">
        <f t="shared" si="15"/>
        <v/>
      </c>
      <c r="Q41" s="32" t="str">
        <f t="shared" si="16"/>
        <v/>
      </c>
      <c r="R41" s="603"/>
      <c r="S41" s="281" t="str">
        <f t="shared" si="18"/>
        <v/>
      </c>
      <c r="T41" s="7"/>
      <c r="U41" s="23" t="str" cm="1">
        <f t="array" ref="U41">IF(OR(S41="",I41=""),"",_xlfn.IFS(
ROUND(IFERROR(VALUE(TRIM(SUBSTITUTE(S41,CHAR(160),""))),0),2)&gt;
ROUND(IFERROR(VALUE(TRIM(SUBSTITUTE(I41,CHAR(160),""))),0),2),
"KO : Le montant retenu est supérieur au montant présenté. Merci de revoir la ligne de contribution ou plafonner son montant.",
ROUND(IFERROR(VALUE(TRIM(SUBSTITUTE(I41,CHAR(160),""))),0),2)=0,
"",
ROUND(IFERROR(VALUE(TRIM(SUBSTITUTE(S41,CHAR(160),""))),0),2)=
ROUND(IFERROR(VALUE(TRIM(SUBSTITUTE(I41,CHAR(160),""))),0),2),
"OK",
ROUND(IFERROR(VALUE(TRIM(SUBSTITUTE(S41,CHAR(160),""))),0),2)=0,
"Attention : Montant présenté entièrement rejeté.",
ROUND(IFERROR(VALUE(TRIM(SUBSTITUTE(S41,CHAR(160),""))),0),2)&lt;
ROUND(IFERROR(VALUE(TRIM(SUBSTITUTE(I41,CHAR(160),""))),0),2),
"Attention : Montant présenté partiellement rejeté.",
TRUE,""
))</f>
        <v/>
      </c>
      <c r="V41" s="32" t="str">
        <f t="shared" si="19"/>
        <v/>
      </c>
    </row>
    <row r="42" spans="1:22" ht="15" customHeight="1">
      <c r="A42" s="198">
        <v>38</v>
      </c>
      <c r="B42" s="37"/>
      <c r="C42" s="7"/>
      <c r="D42" s="38"/>
      <c r="E42" s="17"/>
      <c r="F42" s="38"/>
      <c r="G42" s="16"/>
      <c r="H42" s="38"/>
      <c r="I42" s="274" t="str">
        <f t="shared" si="17"/>
        <v/>
      </c>
      <c r="J42" s="176"/>
      <c r="K42" s="195" t="str">
        <f t="shared" si="10"/>
        <v/>
      </c>
      <c r="L42" s="32" t="str">
        <f t="shared" si="11"/>
        <v/>
      </c>
      <c r="M42" s="32" t="str">
        <f t="shared" si="12"/>
        <v/>
      </c>
      <c r="N42" s="110" t="str">
        <f t="shared" si="13"/>
        <v/>
      </c>
      <c r="O42" s="32" t="str">
        <f t="shared" si="14"/>
        <v/>
      </c>
      <c r="P42" s="32" t="str">
        <f t="shared" si="15"/>
        <v/>
      </c>
      <c r="Q42" s="32" t="str">
        <f t="shared" si="16"/>
        <v/>
      </c>
      <c r="R42" s="603"/>
      <c r="S42" s="281" t="str">
        <f t="shared" si="18"/>
        <v/>
      </c>
      <c r="T42" s="7"/>
      <c r="U42" s="23" t="str" cm="1">
        <f t="array" ref="U42">IF(OR(S42="",I42=""),"",_xlfn.IFS(
ROUND(IFERROR(VALUE(TRIM(SUBSTITUTE(S42,CHAR(160),""))),0),2)&gt;
ROUND(IFERROR(VALUE(TRIM(SUBSTITUTE(I42,CHAR(160),""))),0),2),
"KO : Le montant retenu est supérieur au montant présenté. Merci de revoir la ligne de contribution ou plafonner son montant.",
ROUND(IFERROR(VALUE(TRIM(SUBSTITUTE(I42,CHAR(160),""))),0),2)=0,
"",
ROUND(IFERROR(VALUE(TRIM(SUBSTITUTE(S42,CHAR(160),""))),0),2)=
ROUND(IFERROR(VALUE(TRIM(SUBSTITUTE(I42,CHAR(160),""))),0),2),
"OK",
ROUND(IFERROR(VALUE(TRIM(SUBSTITUTE(S42,CHAR(160),""))),0),2)=0,
"Attention : Montant présenté entièrement rejeté.",
ROUND(IFERROR(VALUE(TRIM(SUBSTITUTE(S42,CHAR(160),""))),0),2)&lt;
ROUND(IFERROR(VALUE(TRIM(SUBSTITUTE(I42,CHAR(160),""))),0),2),
"Attention : Montant présenté partiellement rejeté.",
TRUE,""
))</f>
        <v/>
      </c>
      <c r="V42" s="32" t="str">
        <f t="shared" si="19"/>
        <v/>
      </c>
    </row>
    <row r="43" spans="1:22" ht="15" customHeight="1">
      <c r="A43" s="198">
        <v>39</v>
      </c>
      <c r="B43" s="37"/>
      <c r="C43" s="7"/>
      <c r="D43" s="38"/>
      <c r="E43" s="17"/>
      <c r="F43" s="38"/>
      <c r="G43" s="16"/>
      <c r="H43" s="38"/>
      <c r="I43" s="274" t="str">
        <f t="shared" si="17"/>
        <v/>
      </c>
      <c r="J43" s="176"/>
      <c r="K43" s="195" t="str">
        <f t="shared" si="10"/>
        <v/>
      </c>
      <c r="L43" s="32" t="str">
        <f t="shared" si="11"/>
        <v/>
      </c>
      <c r="M43" s="32" t="str">
        <f t="shared" si="12"/>
        <v/>
      </c>
      <c r="N43" s="110" t="str">
        <f t="shared" si="13"/>
        <v/>
      </c>
      <c r="O43" s="32" t="str">
        <f t="shared" si="14"/>
        <v/>
      </c>
      <c r="P43" s="32" t="str">
        <f t="shared" si="15"/>
        <v/>
      </c>
      <c r="Q43" s="32" t="str">
        <f t="shared" si="16"/>
        <v/>
      </c>
      <c r="R43" s="603"/>
      <c r="S43" s="281" t="str">
        <f t="shared" si="18"/>
        <v/>
      </c>
      <c r="T43" s="7"/>
      <c r="U43" s="23" t="str" cm="1">
        <f t="array" ref="U43">IF(OR(S43="",I43=""),"",_xlfn.IFS(
ROUND(IFERROR(VALUE(TRIM(SUBSTITUTE(S43,CHAR(160),""))),0),2)&gt;
ROUND(IFERROR(VALUE(TRIM(SUBSTITUTE(I43,CHAR(160),""))),0),2),
"KO : Le montant retenu est supérieur au montant présenté. Merci de revoir la ligne de contribution ou plafonner son montant.",
ROUND(IFERROR(VALUE(TRIM(SUBSTITUTE(I43,CHAR(160),""))),0),2)=0,
"",
ROUND(IFERROR(VALUE(TRIM(SUBSTITUTE(S43,CHAR(160),""))),0),2)=
ROUND(IFERROR(VALUE(TRIM(SUBSTITUTE(I43,CHAR(160),""))),0),2),
"OK",
ROUND(IFERROR(VALUE(TRIM(SUBSTITUTE(S43,CHAR(160),""))),0),2)=0,
"Attention : Montant présenté entièrement rejeté.",
ROUND(IFERROR(VALUE(TRIM(SUBSTITUTE(S43,CHAR(160),""))),0),2)&lt;
ROUND(IFERROR(VALUE(TRIM(SUBSTITUTE(I43,CHAR(160),""))),0),2),
"Attention : Montant présenté partiellement rejeté.",
TRUE,""
))</f>
        <v/>
      </c>
      <c r="V43" s="32" t="str">
        <f t="shared" si="19"/>
        <v/>
      </c>
    </row>
    <row r="44" spans="1:22" ht="15" customHeight="1">
      <c r="A44" s="198">
        <v>40</v>
      </c>
      <c r="B44" s="37"/>
      <c r="C44" s="7"/>
      <c r="D44" s="38"/>
      <c r="E44" s="17"/>
      <c r="F44" s="38"/>
      <c r="G44" s="16"/>
      <c r="H44" s="38"/>
      <c r="I44" s="274" t="str">
        <f t="shared" si="17"/>
        <v/>
      </c>
      <c r="J44" s="176"/>
      <c r="K44" s="195" t="str">
        <f t="shared" si="10"/>
        <v/>
      </c>
      <c r="L44" s="32" t="str">
        <f t="shared" si="11"/>
        <v/>
      </c>
      <c r="M44" s="32" t="str">
        <f t="shared" si="12"/>
        <v/>
      </c>
      <c r="N44" s="110" t="str">
        <f t="shared" si="13"/>
        <v/>
      </c>
      <c r="O44" s="32" t="str">
        <f t="shared" si="14"/>
        <v/>
      </c>
      <c r="P44" s="32" t="str">
        <f t="shared" si="15"/>
        <v/>
      </c>
      <c r="Q44" s="32" t="str">
        <f t="shared" si="16"/>
        <v/>
      </c>
      <c r="R44" s="603"/>
      <c r="S44" s="281" t="str">
        <f t="shared" si="18"/>
        <v/>
      </c>
      <c r="T44" s="7"/>
      <c r="U44" s="23" t="str" cm="1">
        <f t="array" ref="U44">IF(OR(S44="",I44=""),"",_xlfn.IFS(
ROUND(IFERROR(VALUE(TRIM(SUBSTITUTE(S44,CHAR(160),""))),0),2)&gt;
ROUND(IFERROR(VALUE(TRIM(SUBSTITUTE(I44,CHAR(160),""))),0),2),
"KO : Le montant retenu est supérieur au montant présenté. Merci de revoir la ligne de contribution ou plafonner son montant.",
ROUND(IFERROR(VALUE(TRIM(SUBSTITUTE(I44,CHAR(160),""))),0),2)=0,
"",
ROUND(IFERROR(VALUE(TRIM(SUBSTITUTE(S44,CHAR(160),""))),0),2)=
ROUND(IFERROR(VALUE(TRIM(SUBSTITUTE(I44,CHAR(160),""))),0),2),
"OK",
ROUND(IFERROR(VALUE(TRIM(SUBSTITUTE(S44,CHAR(160),""))),0),2)=0,
"Attention : Montant présenté entièrement rejeté.",
ROUND(IFERROR(VALUE(TRIM(SUBSTITUTE(S44,CHAR(160),""))),0),2)&lt;
ROUND(IFERROR(VALUE(TRIM(SUBSTITUTE(I44,CHAR(160),""))),0),2),
"Attention : Montant présenté partiellement rejeté.",
TRUE,""
))</f>
        <v/>
      </c>
      <c r="V44" s="32" t="str">
        <f t="shared" si="19"/>
        <v/>
      </c>
    </row>
    <row r="45" spans="1:22" ht="15" customHeight="1">
      <c r="A45" s="198">
        <v>41</v>
      </c>
      <c r="B45" s="37"/>
      <c r="C45" s="7"/>
      <c r="D45" s="38"/>
      <c r="E45" s="17"/>
      <c r="F45" s="38"/>
      <c r="G45" s="16"/>
      <c r="H45" s="38"/>
      <c r="I45" s="274" t="str">
        <f t="shared" si="17"/>
        <v/>
      </c>
      <c r="J45" s="176"/>
      <c r="K45" s="195" t="str">
        <f t="shared" si="10"/>
        <v/>
      </c>
      <c r="L45" s="32" t="str">
        <f t="shared" si="11"/>
        <v/>
      </c>
      <c r="M45" s="32" t="str">
        <f t="shared" si="12"/>
        <v/>
      </c>
      <c r="N45" s="110" t="str">
        <f t="shared" si="13"/>
        <v/>
      </c>
      <c r="O45" s="32" t="str">
        <f t="shared" si="14"/>
        <v/>
      </c>
      <c r="P45" s="32" t="str">
        <f t="shared" si="15"/>
        <v/>
      </c>
      <c r="Q45" s="32" t="str">
        <f t="shared" si="16"/>
        <v/>
      </c>
      <c r="R45" s="603"/>
      <c r="S45" s="281" t="str">
        <f t="shared" si="18"/>
        <v/>
      </c>
      <c r="T45" s="7"/>
      <c r="U45" s="23" t="str" cm="1">
        <f t="array" ref="U45">IF(OR(S45="",I45=""),"",_xlfn.IFS(
ROUND(IFERROR(VALUE(TRIM(SUBSTITUTE(S45,CHAR(160),""))),0),2)&gt;
ROUND(IFERROR(VALUE(TRIM(SUBSTITUTE(I45,CHAR(160),""))),0),2),
"KO : Le montant retenu est supérieur au montant présenté. Merci de revoir la ligne de contribution ou plafonner son montant.",
ROUND(IFERROR(VALUE(TRIM(SUBSTITUTE(I45,CHAR(160),""))),0),2)=0,
"",
ROUND(IFERROR(VALUE(TRIM(SUBSTITUTE(S45,CHAR(160),""))),0),2)=
ROUND(IFERROR(VALUE(TRIM(SUBSTITUTE(I45,CHAR(160),""))),0),2),
"OK",
ROUND(IFERROR(VALUE(TRIM(SUBSTITUTE(S45,CHAR(160),""))),0),2)=0,
"Attention : Montant présenté entièrement rejeté.",
ROUND(IFERROR(VALUE(TRIM(SUBSTITUTE(S45,CHAR(160),""))),0),2)&lt;
ROUND(IFERROR(VALUE(TRIM(SUBSTITUTE(I45,CHAR(160),""))),0),2),
"Attention : Montant présenté partiellement rejeté.",
TRUE,""
))</f>
        <v/>
      </c>
      <c r="V45" s="32" t="str">
        <f t="shared" si="19"/>
        <v/>
      </c>
    </row>
    <row r="46" spans="1:22" ht="15" customHeight="1">
      <c r="A46" s="198">
        <v>42</v>
      </c>
      <c r="B46" s="37"/>
      <c r="C46" s="7"/>
      <c r="D46" s="38"/>
      <c r="E46" s="17"/>
      <c r="F46" s="38"/>
      <c r="G46" s="16"/>
      <c r="H46" s="38"/>
      <c r="I46" s="274" t="str">
        <f t="shared" si="17"/>
        <v/>
      </c>
      <c r="J46" s="176"/>
      <c r="K46" s="195" t="str">
        <f t="shared" si="10"/>
        <v/>
      </c>
      <c r="L46" s="32" t="str">
        <f t="shared" si="11"/>
        <v/>
      </c>
      <c r="M46" s="32" t="str">
        <f t="shared" si="12"/>
        <v/>
      </c>
      <c r="N46" s="110" t="str">
        <f t="shared" si="13"/>
        <v/>
      </c>
      <c r="O46" s="32" t="str">
        <f t="shared" si="14"/>
        <v/>
      </c>
      <c r="P46" s="32" t="str">
        <f t="shared" si="15"/>
        <v/>
      </c>
      <c r="Q46" s="32" t="str">
        <f t="shared" si="16"/>
        <v/>
      </c>
      <c r="R46" s="603"/>
      <c r="S46" s="281" t="str">
        <f t="shared" si="18"/>
        <v/>
      </c>
      <c r="T46" s="7"/>
      <c r="U46" s="23" t="str" cm="1">
        <f t="array" ref="U46">IF(OR(S46="",I46=""),"",_xlfn.IFS(
ROUND(IFERROR(VALUE(TRIM(SUBSTITUTE(S46,CHAR(160),""))),0),2)&gt;
ROUND(IFERROR(VALUE(TRIM(SUBSTITUTE(I46,CHAR(160),""))),0),2),
"KO : Le montant retenu est supérieur au montant présenté. Merci de revoir la ligne de contribution ou plafonner son montant.",
ROUND(IFERROR(VALUE(TRIM(SUBSTITUTE(I46,CHAR(160),""))),0),2)=0,
"",
ROUND(IFERROR(VALUE(TRIM(SUBSTITUTE(S46,CHAR(160),""))),0),2)=
ROUND(IFERROR(VALUE(TRIM(SUBSTITUTE(I46,CHAR(160),""))),0),2),
"OK",
ROUND(IFERROR(VALUE(TRIM(SUBSTITUTE(S46,CHAR(160),""))),0),2)=0,
"Attention : Montant présenté entièrement rejeté.",
ROUND(IFERROR(VALUE(TRIM(SUBSTITUTE(S46,CHAR(160),""))),0),2)&lt;
ROUND(IFERROR(VALUE(TRIM(SUBSTITUTE(I46,CHAR(160),""))),0),2),
"Attention : Montant présenté partiellement rejeté.",
TRUE,""
))</f>
        <v/>
      </c>
      <c r="V46" s="32" t="str">
        <f t="shared" si="19"/>
        <v/>
      </c>
    </row>
    <row r="47" spans="1:22" ht="15" customHeight="1">
      <c r="A47" s="198">
        <v>43</v>
      </c>
      <c r="B47" s="37"/>
      <c r="C47" s="7"/>
      <c r="D47" s="38"/>
      <c r="E47" s="17"/>
      <c r="F47" s="38"/>
      <c r="G47" s="16"/>
      <c r="H47" s="38"/>
      <c r="I47" s="274" t="str">
        <f t="shared" si="17"/>
        <v/>
      </c>
      <c r="J47" s="176"/>
      <c r="K47" s="195" t="str">
        <f t="shared" si="10"/>
        <v/>
      </c>
      <c r="L47" s="32" t="str">
        <f t="shared" si="11"/>
        <v/>
      </c>
      <c r="M47" s="32" t="str">
        <f t="shared" si="12"/>
        <v/>
      </c>
      <c r="N47" s="110" t="str">
        <f t="shared" si="13"/>
        <v/>
      </c>
      <c r="O47" s="32" t="str">
        <f t="shared" si="14"/>
        <v/>
      </c>
      <c r="P47" s="32" t="str">
        <f t="shared" si="15"/>
        <v/>
      </c>
      <c r="Q47" s="32" t="str">
        <f t="shared" si="16"/>
        <v/>
      </c>
      <c r="R47" s="603"/>
      <c r="S47" s="281" t="str">
        <f t="shared" si="18"/>
        <v/>
      </c>
      <c r="T47" s="7"/>
      <c r="U47" s="23" t="str" cm="1">
        <f t="array" ref="U47">IF(OR(S47="",I47=""),"",_xlfn.IFS(
ROUND(IFERROR(VALUE(TRIM(SUBSTITUTE(S47,CHAR(160),""))),0),2)&gt;
ROUND(IFERROR(VALUE(TRIM(SUBSTITUTE(I47,CHAR(160),""))),0),2),
"KO : Le montant retenu est supérieur au montant présenté. Merci de revoir la ligne de contribution ou plafonner son montant.",
ROUND(IFERROR(VALUE(TRIM(SUBSTITUTE(I47,CHAR(160),""))),0),2)=0,
"",
ROUND(IFERROR(VALUE(TRIM(SUBSTITUTE(S47,CHAR(160),""))),0),2)=
ROUND(IFERROR(VALUE(TRIM(SUBSTITUTE(I47,CHAR(160),""))),0),2),
"OK",
ROUND(IFERROR(VALUE(TRIM(SUBSTITUTE(S47,CHAR(160),""))),0),2)=0,
"Attention : Montant présenté entièrement rejeté.",
ROUND(IFERROR(VALUE(TRIM(SUBSTITUTE(S47,CHAR(160),""))),0),2)&lt;
ROUND(IFERROR(VALUE(TRIM(SUBSTITUTE(I47,CHAR(160),""))),0),2),
"Attention : Montant présenté partiellement rejeté.",
TRUE,""
))</f>
        <v/>
      </c>
      <c r="V47" s="32" t="str">
        <f t="shared" si="19"/>
        <v/>
      </c>
    </row>
    <row r="48" spans="1:22" ht="15" customHeight="1">
      <c r="A48" s="198">
        <v>44</v>
      </c>
      <c r="B48" s="37"/>
      <c r="C48" s="7"/>
      <c r="D48" s="38"/>
      <c r="E48" s="17"/>
      <c r="F48" s="38"/>
      <c r="G48" s="16"/>
      <c r="H48" s="38"/>
      <c r="I48" s="274" t="str">
        <f t="shared" si="17"/>
        <v/>
      </c>
      <c r="J48" s="176"/>
      <c r="K48" s="195" t="str">
        <f t="shared" si="10"/>
        <v/>
      </c>
      <c r="L48" s="32" t="str">
        <f t="shared" si="11"/>
        <v/>
      </c>
      <c r="M48" s="32" t="str">
        <f t="shared" si="12"/>
        <v/>
      </c>
      <c r="N48" s="110" t="str">
        <f t="shared" si="13"/>
        <v/>
      </c>
      <c r="O48" s="32" t="str">
        <f t="shared" si="14"/>
        <v/>
      </c>
      <c r="P48" s="32" t="str">
        <f t="shared" si="15"/>
        <v/>
      </c>
      <c r="Q48" s="32" t="str">
        <f t="shared" si="16"/>
        <v/>
      </c>
      <c r="R48" s="603"/>
      <c r="S48" s="281" t="str">
        <f t="shared" si="18"/>
        <v/>
      </c>
      <c r="T48" s="7"/>
      <c r="U48" s="23" t="str" cm="1">
        <f t="array" ref="U48">IF(OR(S48="",I48=""),"",_xlfn.IFS(
ROUND(IFERROR(VALUE(TRIM(SUBSTITUTE(S48,CHAR(160),""))),0),2)&gt;
ROUND(IFERROR(VALUE(TRIM(SUBSTITUTE(I48,CHAR(160),""))),0),2),
"KO : Le montant retenu est supérieur au montant présenté. Merci de revoir la ligne de contribution ou plafonner son montant.",
ROUND(IFERROR(VALUE(TRIM(SUBSTITUTE(I48,CHAR(160),""))),0),2)=0,
"",
ROUND(IFERROR(VALUE(TRIM(SUBSTITUTE(S48,CHAR(160),""))),0),2)=
ROUND(IFERROR(VALUE(TRIM(SUBSTITUTE(I48,CHAR(160),""))),0),2),
"OK",
ROUND(IFERROR(VALUE(TRIM(SUBSTITUTE(S48,CHAR(160),""))),0),2)=0,
"Attention : Montant présenté entièrement rejeté.",
ROUND(IFERROR(VALUE(TRIM(SUBSTITUTE(S48,CHAR(160),""))),0),2)&lt;
ROUND(IFERROR(VALUE(TRIM(SUBSTITUTE(I48,CHAR(160),""))),0),2),
"Attention : Montant présenté partiellement rejeté.",
TRUE,""
))</f>
        <v/>
      </c>
      <c r="V48" s="32" t="str">
        <f t="shared" si="19"/>
        <v/>
      </c>
    </row>
    <row r="49" spans="1:22" ht="15" customHeight="1">
      <c r="A49" s="198">
        <v>45</v>
      </c>
      <c r="B49" s="37"/>
      <c r="C49" s="7"/>
      <c r="D49" s="38"/>
      <c r="E49" s="17"/>
      <c r="F49" s="38"/>
      <c r="G49" s="16"/>
      <c r="H49" s="38"/>
      <c r="I49" s="274" t="str">
        <f t="shared" si="17"/>
        <v/>
      </c>
      <c r="J49" s="176"/>
      <c r="K49" s="195" t="str">
        <f t="shared" si="10"/>
        <v/>
      </c>
      <c r="L49" s="32" t="str">
        <f t="shared" si="11"/>
        <v/>
      </c>
      <c r="M49" s="32" t="str">
        <f t="shared" si="12"/>
        <v/>
      </c>
      <c r="N49" s="110" t="str">
        <f t="shared" si="13"/>
        <v/>
      </c>
      <c r="O49" s="32" t="str">
        <f t="shared" si="14"/>
        <v/>
      </c>
      <c r="P49" s="32" t="str">
        <f t="shared" si="15"/>
        <v/>
      </c>
      <c r="Q49" s="32" t="str">
        <f t="shared" si="16"/>
        <v/>
      </c>
      <c r="R49" s="603"/>
      <c r="S49" s="281" t="str">
        <f t="shared" si="18"/>
        <v/>
      </c>
      <c r="T49" s="7"/>
      <c r="U49" s="23" t="str" cm="1">
        <f t="array" ref="U49">IF(OR(S49="",I49=""),"",_xlfn.IFS(
ROUND(IFERROR(VALUE(TRIM(SUBSTITUTE(S49,CHAR(160),""))),0),2)&gt;
ROUND(IFERROR(VALUE(TRIM(SUBSTITUTE(I49,CHAR(160),""))),0),2),
"KO : Le montant retenu est supérieur au montant présenté. Merci de revoir la ligne de contribution ou plafonner son montant.",
ROUND(IFERROR(VALUE(TRIM(SUBSTITUTE(I49,CHAR(160),""))),0),2)=0,
"",
ROUND(IFERROR(VALUE(TRIM(SUBSTITUTE(S49,CHAR(160),""))),0),2)=
ROUND(IFERROR(VALUE(TRIM(SUBSTITUTE(I49,CHAR(160),""))),0),2),
"OK",
ROUND(IFERROR(VALUE(TRIM(SUBSTITUTE(S49,CHAR(160),""))),0),2)=0,
"Attention : Montant présenté entièrement rejeté.",
ROUND(IFERROR(VALUE(TRIM(SUBSTITUTE(S49,CHAR(160),""))),0),2)&lt;
ROUND(IFERROR(VALUE(TRIM(SUBSTITUTE(I49,CHAR(160),""))),0),2),
"Attention : Montant présenté partiellement rejeté.",
TRUE,""
))</f>
        <v/>
      </c>
      <c r="V49" s="32" t="str">
        <f t="shared" si="19"/>
        <v/>
      </c>
    </row>
    <row r="50" spans="1:22" ht="15" customHeight="1">
      <c r="A50" s="198">
        <v>46</v>
      </c>
      <c r="B50" s="37"/>
      <c r="C50" s="7"/>
      <c r="D50" s="38"/>
      <c r="E50" s="17"/>
      <c r="F50" s="38"/>
      <c r="G50" s="16"/>
      <c r="H50" s="38"/>
      <c r="I50" s="274" t="str">
        <f t="shared" si="17"/>
        <v/>
      </c>
      <c r="J50" s="176"/>
      <c r="K50" s="195" t="str">
        <f t="shared" si="10"/>
        <v/>
      </c>
      <c r="L50" s="32" t="str">
        <f t="shared" si="11"/>
        <v/>
      </c>
      <c r="M50" s="32" t="str">
        <f t="shared" si="12"/>
        <v/>
      </c>
      <c r="N50" s="110" t="str">
        <f t="shared" si="13"/>
        <v/>
      </c>
      <c r="O50" s="32" t="str">
        <f t="shared" si="14"/>
        <v/>
      </c>
      <c r="P50" s="32" t="str">
        <f t="shared" si="15"/>
        <v/>
      </c>
      <c r="Q50" s="32" t="str">
        <f t="shared" si="16"/>
        <v/>
      </c>
      <c r="R50" s="603"/>
      <c r="S50" s="281" t="str">
        <f t="shared" si="18"/>
        <v/>
      </c>
      <c r="T50" s="7"/>
      <c r="U50" s="23" t="str" cm="1">
        <f t="array" ref="U50">IF(OR(S50="",I50=""),"",_xlfn.IFS(
ROUND(IFERROR(VALUE(TRIM(SUBSTITUTE(S50,CHAR(160),""))),0),2)&gt;
ROUND(IFERROR(VALUE(TRIM(SUBSTITUTE(I50,CHAR(160),""))),0),2),
"KO : Le montant retenu est supérieur au montant présenté. Merci de revoir la ligne de contribution ou plafonner son montant.",
ROUND(IFERROR(VALUE(TRIM(SUBSTITUTE(I50,CHAR(160),""))),0),2)=0,
"",
ROUND(IFERROR(VALUE(TRIM(SUBSTITUTE(S50,CHAR(160),""))),0),2)=
ROUND(IFERROR(VALUE(TRIM(SUBSTITUTE(I50,CHAR(160),""))),0),2),
"OK",
ROUND(IFERROR(VALUE(TRIM(SUBSTITUTE(S50,CHAR(160),""))),0),2)=0,
"Attention : Montant présenté entièrement rejeté.",
ROUND(IFERROR(VALUE(TRIM(SUBSTITUTE(S50,CHAR(160),""))),0),2)&lt;
ROUND(IFERROR(VALUE(TRIM(SUBSTITUTE(I50,CHAR(160),""))),0),2),
"Attention : Montant présenté partiellement rejeté.",
TRUE,""
))</f>
        <v/>
      </c>
      <c r="V50" s="32" t="str">
        <f t="shared" si="19"/>
        <v/>
      </c>
    </row>
    <row r="51" spans="1:22" ht="15" customHeight="1">
      <c r="A51" s="198">
        <v>47</v>
      </c>
      <c r="B51" s="37"/>
      <c r="C51" s="7"/>
      <c r="D51" s="38"/>
      <c r="E51" s="17"/>
      <c r="F51" s="38"/>
      <c r="G51" s="16"/>
      <c r="H51" s="38"/>
      <c r="I51" s="274" t="str">
        <f t="shared" si="17"/>
        <v/>
      </c>
      <c r="J51" s="176"/>
      <c r="K51" s="195" t="str">
        <f t="shared" si="10"/>
        <v/>
      </c>
      <c r="L51" s="32" t="str">
        <f t="shared" si="11"/>
        <v/>
      </c>
      <c r="M51" s="32" t="str">
        <f t="shared" si="12"/>
        <v/>
      </c>
      <c r="N51" s="110" t="str">
        <f t="shared" si="13"/>
        <v/>
      </c>
      <c r="O51" s="32" t="str">
        <f t="shared" si="14"/>
        <v/>
      </c>
      <c r="P51" s="32" t="str">
        <f t="shared" si="15"/>
        <v/>
      </c>
      <c r="Q51" s="32" t="str">
        <f t="shared" si="16"/>
        <v/>
      </c>
      <c r="R51" s="603"/>
      <c r="S51" s="281" t="str">
        <f t="shared" si="18"/>
        <v/>
      </c>
      <c r="T51" s="7"/>
      <c r="U51" s="23" t="str" cm="1">
        <f t="array" ref="U51">IF(OR(S51="",I51=""),"",_xlfn.IFS(
ROUND(IFERROR(VALUE(TRIM(SUBSTITUTE(S51,CHAR(160),""))),0),2)&gt;
ROUND(IFERROR(VALUE(TRIM(SUBSTITUTE(I51,CHAR(160),""))),0),2),
"KO : Le montant retenu est supérieur au montant présenté. Merci de revoir la ligne de contribution ou plafonner son montant.",
ROUND(IFERROR(VALUE(TRIM(SUBSTITUTE(I51,CHAR(160),""))),0),2)=0,
"",
ROUND(IFERROR(VALUE(TRIM(SUBSTITUTE(S51,CHAR(160),""))),0),2)=
ROUND(IFERROR(VALUE(TRIM(SUBSTITUTE(I51,CHAR(160),""))),0),2),
"OK",
ROUND(IFERROR(VALUE(TRIM(SUBSTITUTE(S51,CHAR(160),""))),0),2)=0,
"Attention : Montant présenté entièrement rejeté.",
ROUND(IFERROR(VALUE(TRIM(SUBSTITUTE(S51,CHAR(160),""))),0),2)&lt;
ROUND(IFERROR(VALUE(TRIM(SUBSTITUTE(I51,CHAR(160),""))),0),2),
"Attention : Montant présenté partiellement rejeté.",
TRUE,""
))</f>
        <v/>
      </c>
      <c r="V51" s="32" t="str">
        <f t="shared" si="19"/>
        <v/>
      </c>
    </row>
    <row r="52" spans="1:22" ht="15" customHeight="1">
      <c r="A52" s="198">
        <v>48</v>
      </c>
      <c r="B52" s="37"/>
      <c r="C52" s="7"/>
      <c r="D52" s="38"/>
      <c r="E52" s="17"/>
      <c r="F52" s="38"/>
      <c r="G52" s="16"/>
      <c r="H52" s="38"/>
      <c r="I52" s="274" t="str">
        <f t="shared" si="17"/>
        <v/>
      </c>
      <c r="J52" s="176"/>
      <c r="K52" s="195" t="str">
        <f t="shared" si="10"/>
        <v/>
      </c>
      <c r="L52" s="32" t="str">
        <f t="shared" si="11"/>
        <v/>
      </c>
      <c r="M52" s="32" t="str">
        <f t="shared" si="12"/>
        <v/>
      </c>
      <c r="N52" s="110" t="str">
        <f t="shared" si="13"/>
        <v/>
      </c>
      <c r="O52" s="32" t="str">
        <f t="shared" si="14"/>
        <v/>
      </c>
      <c r="P52" s="32" t="str">
        <f t="shared" si="15"/>
        <v/>
      </c>
      <c r="Q52" s="32" t="str">
        <f t="shared" si="16"/>
        <v/>
      </c>
      <c r="R52" s="603"/>
      <c r="S52" s="281" t="str">
        <f t="shared" si="18"/>
        <v/>
      </c>
      <c r="T52" s="7"/>
      <c r="U52" s="23" t="str" cm="1">
        <f t="array" ref="U52">IF(OR(S52="",I52=""),"",_xlfn.IFS(
ROUND(IFERROR(VALUE(TRIM(SUBSTITUTE(S52,CHAR(160),""))),0),2)&gt;
ROUND(IFERROR(VALUE(TRIM(SUBSTITUTE(I52,CHAR(160),""))),0),2),
"KO : Le montant retenu est supérieur au montant présenté. Merci de revoir la ligne de contribution ou plafonner son montant.",
ROUND(IFERROR(VALUE(TRIM(SUBSTITUTE(I52,CHAR(160),""))),0),2)=0,
"",
ROUND(IFERROR(VALUE(TRIM(SUBSTITUTE(S52,CHAR(160),""))),0),2)=
ROUND(IFERROR(VALUE(TRIM(SUBSTITUTE(I52,CHAR(160),""))),0),2),
"OK",
ROUND(IFERROR(VALUE(TRIM(SUBSTITUTE(S52,CHAR(160),""))),0),2)=0,
"Attention : Montant présenté entièrement rejeté.",
ROUND(IFERROR(VALUE(TRIM(SUBSTITUTE(S52,CHAR(160),""))),0),2)&lt;
ROUND(IFERROR(VALUE(TRIM(SUBSTITUTE(I52,CHAR(160),""))),0),2),
"Attention : Montant présenté partiellement rejeté.",
TRUE,""
))</f>
        <v/>
      </c>
      <c r="V52" s="32" t="str">
        <f t="shared" si="19"/>
        <v/>
      </c>
    </row>
    <row r="53" spans="1:22" ht="15" customHeight="1">
      <c r="A53" s="198">
        <v>49</v>
      </c>
      <c r="B53" s="37"/>
      <c r="C53" s="7"/>
      <c r="D53" s="38"/>
      <c r="E53" s="17"/>
      <c r="F53" s="38"/>
      <c r="G53" s="16"/>
      <c r="H53" s="38"/>
      <c r="I53" s="274" t="str">
        <f t="shared" si="17"/>
        <v/>
      </c>
      <c r="J53" s="176"/>
      <c r="K53" s="195" t="str">
        <f t="shared" si="10"/>
        <v/>
      </c>
      <c r="L53" s="32" t="str">
        <f t="shared" si="11"/>
        <v/>
      </c>
      <c r="M53" s="32" t="str">
        <f t="shared" si="12"/>
        <v/>
      </c>
      <c r="N53" s="110" t="str">
        <f t="shared" si="13"/>
        <v/>
      </c>
      <c r="O53" s="32" t="str">
        <f t="shared" si="14"/>
        <v/>
      </c>
      <c r="P53" s="32" t="str">
        <f t="shared" si="15"/>
        <v/>
      </c>
      <c r="Q53" s="32" t="str">
        <f t="shared" si="16"/>
        <v/>
      </c>
      <c r="R53" s="603"/>
      <c r="S53" s="281" t="str">
        <f t="shared" si="18"/>
        <v/>
      </c>
      <c r="T53" s="7"/>
      <c r="U53" s="23" t="str" cm="1">
        <f t="array" ref="U53">IF(OR(S53="",I53=""),"",_xlfn.IFS(
ROUND(IFERROR(VALUE(TRIM(SUBSTITUTE(S53,CHAR(160),""))),0),2)&gt;
ROUND(IFERROR(VALUE(TRIM(SUBSTITUTE(I53,CHAR(160),""))),0),2),
"KO : Le montant retenu est supérieur au montant présenté. Merci de revoir la ligne de contribution ou plafonner son montant.",
ROUND(IFERROR(VALUE(TRIM(SUBSTITUTE(I53,CHAR(160),""))),0),2)=0,
"",
ROUND(IFERROR(VALUE(TRIM(SUBSTITUTE(S53,CHAR(160),""))),0),2)=
ROUND(IFERROR(VALUE(TRIM(SUBSTITUTE(I53,CHAR(160),""))),0),2),
"OK",
ROUND(IFERROR(VALUE(TRIM(SUBSTITUTE(S53,CHAR(160),""))),0),2)=0,
"Attention : Montant présenté entièrement rejeté.",
ROUND(IFERROR(VALUE(TRIM(SUBSTITUTE(S53,CHAR(160),""))),0),2)&lt;
ROUND(IFERROR(VALUE(TRIM(SUBSTITUTE(I53,CHAR(160),""))),0),2),
"Attention : Montant présenté partiellement rejeté.",
TRUE,""
))</f>
        <v/>
      </c>
      <c r="V53" s="32" t="str">
        <f t="shared" si="19"/>
        <v/>
      </c>
    </row>
    <row r="54" spans="1:22" ht="15" customHeight="1">
      <c r="A54" s="198">
        <v>50</v>
      </c>
      <c r="B54" s="37"/>
      <c r="C54" s="7"/>
      <c r="D54" s="38"/>
      <c r="E54" s="17"/>
      <c r="F54" s="38"/>
      <c r="G54" s="16"/>
      <c r="H54" s="38"/>
      <c r="I54" s="274" t="str">
        <f t="shared" si="17"/>
        <v/>
      </c>
      <c r="J54" s="176"/>
      <c r="K54" s="195" t="str">
        <f t="shared" si="10"/>
        <v/>
      </c>
      <c r="L54" s="32" t="str">
        <f t="shared" si="11"/>
        <v/>
      </c>
      <c r="M54" s="32" t="str">
        <f t="shared" si="12"/>
        <v/>
      </c>
      <c r="N54" s="110" t="str">
        <f t="shared" si="13"/>
        <v/>
      </c>
      <c r="O54" s="32" t="str">
        <f t="shared" si="14"/>
        <v/>
      </c>
      <c r="P54" s="32" t="str">
        <f t="shared" si="15"/>
        <v/>
      </c>
      <c r="Q54" s="32" t="str">
        <f t="shared" si="16"/>
        <v/>
      </c>
      <c r="R54" s="603"/>
      <c r="S54" s="281" t="str">
        <f t="shared" si="18"/>
        <v/>
      </c>
      <c r="T54" s="7"/>
      <c r="U54" s="23" t="str" cm="1">
        <f t="array" ref="U54">IF(OR(S54="",I54=""),"",_xlfn.IFS(
ROUND(IFERROR(VALUE(TRIM(SUBSTITUTE(S54,CHAR(160),""))),0),2)&gt;
ROUND(IFERROR(VALUE(TRIM(SUBSTITUTE(I54,CHAR(160),""))),0),2),
"KO : Le montant retenu est supérieur au montant présenté. Merci de revoir la ligne de contribution ou plafonner son montant.",
ROUND(IFERROR(VALUE(TRIM(SUBSTITUTE(I54,CHAR(160),""))),0),2)=0,
"",
ROUND(IFERROR(VALUE(TRIM(SUBSTITUTE(S54,CHAR(160),""))),0),2)=
ROUND(IFERROR(VALUE(TRIM(SUBSTITUTE(I54,CHAR(160),""))),0),2),
"OK",
ROUND(IFERROR(VALUE(TRIM(SUBSTITUTE(S54,CHAR(160),""))),0),2)=0,
"Attention : Montant présenté entièrement rejeté.",
ROUND(IFERROR(VALUE(TRIM(SUBSTITUTE(S54,CHAR(160),""))),0),2)&lt;
ROUND(IFERROR(VALUE(TRIM(SUBSTITUTE(I54,CHAR(160),""))),0),2),
"Attention : Montant présenté partiellement rejeté.",
TRUE,""
))</f>
        <v/>
      </c>
      <c r="V54" s="32" t="str">
        <f t="shared" si="19"/>
        <v/>
      </c>
    </row>
    <row r="55" spans="1:22" ht="15" customHeight="1">
      <c r="A55" s="198">
        <v>51</v>
      </c>
      <c r="B55" s="37"/>
      <c r="C55" s="7"/>
      <c r="D55" s="38"/>
      <c r="E55" s="17"/>
      <c r="F55" s="38"/>
      <c r="G55" s="16"/>
      <c r="H55" s="38"/>
      <c r="I55" s="274" t="str">
        <f t="shared" si="17"/>
        <v/>
      </c>
      <c r="J55" s="176"/>
      <c r="K55" s="195" t="str">
        <f t="shared" si="10"/>
        <v/>
      </c>
      <c r="L55" s="32" t="str">
        <f t="shared" si="11"/>
        <v/>
      </c>
      <c r="M55" s="32" t="str">
        <f t="shared" si="12"/>
        <v/>
      </c>
      <c r="N55" s="110" t="str">
        <f t="shared" si="13"/>
        <v/>
      </c>
      <c r="O55" s="32" t="str">
        <f t="shared" si="14"/>
        <v/>
      </c>
      <c r="P55" s="32" t="str">
        <f t="shared" si="15"/>
        <v/>
      </c>
      <c r="Q55" s="32" t="str">
        <f t="shared" si="16"/>
        <v/>
      </c>
      <c r="R55" s="603"/>
      <c r="S55" s="281" t="str">
        <f t="shared" si="18"/>
        <v/>
      </c>
      <c r="T55" s="7"/>
      <c r="U55" s="23" t="str" cm="1">
        <f t="array" ref="U55">IF(OR(S55="",I55=""),"",_xlfn.IFS(
ROUND(IFERROR(VALUE(TRIM(SUBSTITUTE(S55,CHAR(160),""))),0),2)&gt;
ROUND(IFERROR(VALUE(TRIM(SUBSTITUTE(I55,CHAR(160),""))),0),2),
"KO : Le montant retenu est supérieur au montant présenté. Merci de revoir la ligne de contribution ou plafonner son montant.",
ROUND(IFERROR(VALUE(TRIM(SUBSTITUTE(I55,CHAR(160),""))),0),2)=0,
"",
ROUND(IFERROR(VALUE(TRIM(SUBSTITUTE(S55,CHAR(160),""))),0),2)=
ROUND(IFERROR(VALUE(TRIM(SUBSTITUTE(I55,CHAR(160),""))),0),2),
"OK",
ROUND(IFERROR(VALUE(TRIM(SUBSTITUTE(S55,CHAR(160),""))),0),2)=0,
"Attention : Montant présenté entièrement rejeté.",
ROUND(IFERROR(VALUE(TRIM(SUBSTITUTE(S55,CHAR(160),""))),0),2)&lt;
ROUND(IFERROR(VALUE(TRIM(SUBSTITUTE(I55,CHAR(160),""))),0),2),
"Attention : Montant présenté partiellement rejeté.",
TRUE,""
))</f>
        <v/>
      </c>
      <c r="V55" s="32" t="str">
        <f t="shared" si="19"/>
        <v/>
      </c>
    </row>
    <row r="56" spans="1:22" ht="15" customHeight="1">
      <c r="A56" s="198">
        <v>52</v>
      </c>
      <c r="B56" s="37"/>
      <c r="C56" s="7"/>
      <c r="D56" s="38"/>
      <c r="E56" s="17"/>
      <c r="F56" s="38"/>
      <c r="G56" s="16"/>
      <c r="H56" s="38"/>
      <c r="I56" s="274" t="str">
        <f t="shared" si="17"/>
        <v/>
      </c>
      <c r="J56" s="176"/>
      <c r="K56" s="195" t="str">
        <f t="shared" si="10"/>
        <v/>
      </c>
      <c r="L56" s="32" t="str">
        <f t="shared" si="11"/>
        <v/>
      </c>
      <c r="M56" s="32" t="str">
        <f t="shared" si="12"/>
        <v/>
      </c>
      <c r="N56" s="110" t="str">
        <f t="shared" si="13"/>
        <v/>
      </c>
      <c r="O56" s="32" t="str">
        <f t="shared" si="14"/>
        <v/>
      </c>
      <c r="P56" s="32" t="str">
        <f t="shared" si="15"/>
        <v/>
      </c>
      <c r="Q56" s="32" t="str">
        <f t="shared" si="16"/>
        <v/>
      </c>
      <c r="R56" s="603"/>
      <c r="S56" s="281" t="str">
        <f t="shared" si="18"/>
        <v/>
      </c>
      <c r="T56" s="7"/>
      <c r="U56" s="23" t="str" cm="1">
        <f t="array" ref="U56">IF(OR(S56="",I56=""),"",_xlfn.IFS(
ROUND(IFERROR(VALUE(TRIM(SUBSTITUTE(S56,CHAR(160),""))),0),2)&gt;
ROUND(IFERROR(VALUE(TRIM(SUBSTITUTE(I56,CHAR(160),""))),0),2),
"KO : Le montant retenu est supérieur au montant présenté. Merci de revoir la ligne de contribution ou plafonner son montant.",
ROUND(IFERROR(VALUE(TRIM(SUBSTITUTE(I56,CHAR(160),""))),0),2)=0,
"",
ROUND(IFERROR(VALUE(TRIM(SUBSTITUTE(S56,CHAR(160),""))),0),2)=
ROUND(IFERROR(VALUE(TRIM(SUBSTITUTE(I56,CHAR(160),""))),0),2),
"OK",
ROUND(IFERROR(VALUE(TRIM(SUBSTITUTE(S56,CHAR(160),""))),0),2)=0,
"Attention : Montant présenté entièrement rejeté.",
ROUND(IFERROR(VALUE(TRIM(SUBSTITUTE(S56,CHAR(160),""))),0),2)&lt;
ROUND(IFERROR(VALUE(TRIM(SUBSTITUTE(I56,CHAR(160),""))),0),2),
"Attention : Montant présenté partiellement rejeté.",
TRUE,""
))</f>
        <v/>
      </c>
      <c r="V56" s="32" t="str">
        <f t="shared" si="19"/>
        <v/>
      </c>
    </row>
    <row r="57" spans="1:22" ht="15" customHeight="1">
      <c r="A57" s="198">
        <v>53</v>
      </c>
      <c r="B57" s="37"/>
      <c r="C57" s="7"/>
      <c r="D57" s="38"/>
      <c r="E57" s="17"/>
      <c r="F57" s="38"/>
      <c r="G57" s="16"/>
      <c r="H57" s="38"/>
      <c r="I57" s="274" t="str">
        <f t="shared" si="17"/>
        <v/>
      </c>
      <c r="J57" s="176"/>
      <c r="K57" s="195" t="str">
        <f t="shared" si="10"/>
        <v/>
      </c>
      <c r="L57" s="32" t="str">
        <f t="shared" si="11"/>
        <v/>
      </c>
      <c r="M57" s="32" t="str">
        <f t="shared" si="12"/>
        <v/>
      </c>
      <c r="N57" s="110" t="str">
        <f t="shared" si="13"/>
        <v/>
      </c>
      <c r="O57" s="32" t="str">
        <f t="shared" si="14"/>
        <v/>
      </c>
      <c r="P57" s="32" t="str">
        <f t="shared" si="15"/>
        <v/>
      </c>
      <c r="Q57" s="32" t="str">
        <f t="shared" si="16"/>
        <v/>
      </c>
      <c r="R57" s="603"/>
      <c r="S57" s="281" t="str">
        <f t="shared" si="18"/>
        <v/>
      </c>
      <c r="T57" s="7"/>
      <c r="U57" s="23" t="str" cm="1">
        <f t="array" ref="U57">IF(OR(S57="",I57=""),"",_xlfn.IFS(
ROUND(IFERROR(VALUE(TRIM(SUBSTITUTE(S57,CHAR(160),""))),0),2)&gt;
ROUND(IFERROR(VALUE(TRIM(SUBSTITUTE(I57,CHAR(160),""))),0),2),
"KO : Le montant retenu est supérieur au montant présenté. Merci de revoir la ligne de contribution ou plafonner son montant.",
ROUND(IFERROR(VALUE(TRIM(SUBSTITUTE(I57,CHAR(160),""))),0),2)=0,
"",
ROUND(IFERROR(VALUE(TRIM(SUBSTITUTE(S57,CHAR(160),""))),0),2)=
ROUND(IFERROR(VALUE(TRIM(SUBSTITUTE(I57,CHAR(160),""))),0),2),
"OK",
ROUND(IFERROR(VALUE(TRIM(SUBSTITUTE(S57,CHAR(160),""))),0),2)=0,
"Attention : Montant présenté entièrement rejeté.",
ROUND(IFERROR(VALUE(TRIM(SUBSTITUTE(S57,CHAR(160),""))),0),2)&lt;
ROUND(IFERROR(VALUE(TRIM(SUBSTITUTE(I57,CHAR(160),""))),0),2),
"Attention : Montant présenté partiellement rejeté.",
TRUE,""
))</f>
        <v/>
      </c>
      <c r="V57" s="32" t="str">
        <f t="shared" si="19"/>
        <v/>
      </c>
    </row>
    <row r="58" spans="1:22" ht="15" customHeight="1">
      <c r="A58" s="198">
        <v>54</v>
      </c>
      <c r="B58" s="37"/>
      <c r="C58" s="7"/>
      <c r="D58" s="38"/>
      <c r="E58" s="17"/>
      <c r="F58" s="38"/>
      <c r="G58" s="16"/>
      <c r="H58" s="38"/>
      <c r="I58" s="274" t="str">
        <f t="shared" si="17"/>
        <v/>
      </c>
      <c r="J58" s="176"/>
      <c r="K58" s="195" t="str">
        <f t="shared" si="10"/>
        <v/>
      </c>
      <c r="L58" s="32" t="str">
        <f t="shared" si="11"/>
        <v/>
      </c>
      <c r="M58" s="32" t="str">
        <f t="shared" si="12"/>
        <v/>
      </c>
      <c r="N58" s="110" t="str">
        <f t="shared" si="13"/>
        <v/>
      </c>
      <c r="O58" s="32" t="str">
        <f t="shared" si="14"/>
        <v/>
      </c>
      <c r="P58" s="32" t="str">
        <f t="shared" si="15"/>
        <v/>
      </c>
      <c r="Q58" s="32" t="str">
        <f t="shared" si="16"/>
        <v/>
      </c>
      <c r="R58" s="603"/>
      <c r="S58" s="281" t="str">
        <f t="shared" si="18"/>
        <v/>
      </c>
      <c r="T58" s="7"/>
      <c r="U58" s="23" t="str" cm="1">
        <f t="array" ref="U58">IF(OR(S58="",I58=""),"",_xlfn.IFS(
ROUND(IFERROR(VALUE(TRIM(SUBSTITUTE(S58,CHAR(160),""))),0),2)&gt;
ROUND(IFERROR(VALUE(TRIM(SUBSTITUTE(I58,CHAR(160),""))),0),2),
"KO : Le montant retenu est supérieur au montant présenté. Merci de revoir la ligne de contribution ou plafonner son montant.",
ROUND(IFERROR(VALUE(TRIM(SUBSTITUTE(I58,CHAR(160),""))),0),2)=0,
"",
ROUND(IFERROR(VALUE(TRIM(SUBSTITUTE(S58,CHAR(160),""))),0),2)=
ROUND(IFERROR(VALUE(TRIM(SUBSTITUTE(I58,CHAR(160),""))),0),2),
"OK",
ROUND(IFERROR(VALUE(TRIM(SUBSTITUTE(S58,CHAR(160),""))),0),2)=0,
"Attention : Montant présenté entièrement rejeté.",
ROUND(IFERROR(VALUE(TRIM(SUBSTITUTE(S58,CHAR(160),""))),0),2)&lt;
ROUND(IFERROR(VALUE(TRIM(SUBSTITUTE(I58,CHAR(160),""))),0),2),
"Attention : Montant présenté partiellement rejeté.",
TRUE,""
))</f>
        <v/>
      </c>
      <c r="V58" s="32" t="str">
        <f t="shared" si="19"/>
        <v/>
      </c>
    </row>
    <row r="59" spans="1:22" ht="15" customHeight="1">
      <c r="A59" s="198">
        <v>55</v>
      </c>
      <c r="B59" s="37"/>
      <c r="C59" s="7"/>
      <c r="D59" s="38"/>
      <c r="E59" s="17"/>
      <c r="F59" s="38"/>
      <c r="G59" s="16"/>
      <c r="H59" s="38"/>
      <c r="I59" s="274" t="str">
        <f t="shared" si="17"/>
        <v/>
      </c>
      <c r="J59" s="176"/>
      <c r="K59" s="195" t="str">
        <f t="shared" si="10"/>
        <v/>
      </c>
      <c r="L59" s="32" t="str">
        <f t="shared" si="11"/>
        <v/>
      </c>
      <c r="M59" s="32" t="str">
        <f t="shared" si="12"/>
        <v/>
      </c>
      <c r="N59" s="110" t="str">
        <f t="shared" si="13"/>
        <v/>
      </c>
      <c r="O59" s="32" t="str">
        <f t="shared" si="14"/>
        <v/>
      </c>
      <c r="P59" s="32" t="str">
        <f t="shared" si="15"/>
        <v/>
      </c>
      <c r="Q59" s="32" t="str">
        <f t="shared" si="16"/>
        <v/>
      </c>
      <c r="R59" s="603"/>
      <c r="S59" s="281" t="str">
        <f t="shared" si="18"/>
        <v/>
      </c>
      <c r="T59" s="7"/>
      <c r="U59" s="23" t="str" cm="1">
        <f t="array" ref="U59">IF(OR(S59="",I59=""),"",_xlfn.IFS(
ROUND(IFERROR(VALUE(TRIM(SUBSTITUTE(S59,CHAR(160),""))),0),2)&gt;
ROUND(IFERROR(VALUE(TRIM(SUBSTITUTE(I59,CHAR(160),""))),0),2),
"KO : Le montant retenu est supérieur au montant présenté. Merci de revoir la ligne de contribution ou plafonner son montant.",
ROUND(IFERROR(VALUE(TRIM(SUBSTITUTE(I59,CHAR(160),""))),0),2)=0,
"",
ROUND(IFERROR(VALUE(TRIM(SUBSTITUTE(S59,CHAR(160),""))),0),2)=
ROUND(IFERROR(VALUE(TRIM(SUBSTITUTE(I59,CHAR(160),""))),0),2),
"OK",
ROUND(IFERROR(VALUE(TRIM(SUBSTITUTE(S59,CHAR(160),""))),0),2)=0,
"Attention : Montant présenté entièrement rejeté.",
ROUND(IFERROR(VALUE(TRIM(SUBSTITUTE(S59,CHAR(160),""))),0),2)&lt;
ROUND(IFERROR(VALUE(TRIM(SUBSTITUTE(I59,CHAR(160),""))),0),2),
"Attention : Montant présenté partiellement rejeté.",
TRUE,""
))</f>
        <v/>
      </c>
      <c r="V59" s="32" t="str">
        <f t="shared" si="19"/>
        <v/>
      </c>
    </row>
    <row r="60" spans="1:22" ht="15" customHeight="1">
      <c r="A60" s="198">
        <v>56</v>
      </c>
      <c r="B60" s="37"/>
      <c r="C60" s="7"/>
      <c r="D60" s="38"/>
      <c r="E60" s="17"/>
      <c r="F60" s="38"/>
      <c r="G60" s="16"/>
      <c r="H60" s="38"/>
      <c r="I60" s="274" t="str">
        <f t="shared" si="17"/>
        <v/>
      </c>
      <c r="J60" s="176"/>
      <c r="K60" s="195" t="str">
        <f t="shared" si="10"/>
        <v/>
      </c>
      <c r="L60" s="32" t="str">
        <f t="shared" si="11"/>
        <v/>
      </c>
      <c r="M60" s="32" t="str">
        <f t="shared" si="12"/>
        <v/>
      </c>
      <c r="N60" s="110" t="str">
        <f t="shared" si="13"/>
        <v/>
      </c>
      <c r="O60" s="32" t="str">
        <f t="shared" si="14"/>
        <v/>
      </c>
      <c r="P60" s="32" t="str">
        <f t="shared" si="15"/>
        <v/>
      </c>
      <c r="Q60" s="32" t="str">
        <f t="shared" si="16"/>
        <v/>
      </c>
      <c r="R60" s="603"/>
      <c r="S60" s="281" t="str">
        <f t="shared" si="18"/>
        <v/>
      </c>
      <c r="T60" s="7"/>
      <c r="U60" s="23" t="str" cm="1">
        <f t="array" ref="U60">IF(OR(S60="",I60=""),"",_xlfn.IFS(
ROUND(IFERROR(VALUE(TRIM(SUBSTITUTE(S60,CHAR(160),""))),0),2)&gt;
ROUND(IFERROR(VALUE(TRIM(SUBSTITUTE(I60,CHAR(160),""))),0),2),
"KO : Le montant retenu est supérieur au montant présenté. Merci de revoir la ligne de contribution ou plafonner son montant.",
ROUND(IFERROR(VALUE(TRIM(SUBSTITUTE(I60,CHAR(160),""))),0),2)=0,
"",
ROUND(IFERROR(VALUE(TRIM(SUBSTITUTE(S60,CHAR(160),""))),0),2)=
ROUND(IFERROR(VALUE(TRIM(SUBSTITUTE(I60,CHAR(160),""))),0),2),
"OK",
ROUND(IFERROR(VALUE(TRIM(SUBSTITUTE(S60,CHAR(160),""))),0),2)=0,
"Attention : Montant présenté entièrement rejeté.",
ROUND(IFERROR(VALUE(TRIM(SUBSTITUTE(S60,CHAR(160),""))),0),2)&lt;
ROUND(IFERROR(VALUE(TRIM(SUBSTITUTE(I60,CHAR(160),""))),0),2),
"Attention : Montant présenté partiellement rejeté.",
TRUE,""
))</f>
        <v/>
      </c>
      <c r="V60" s="32" t="str">
        <f t="shared" si="19"/>
        <v/>
      </c>
    </row>
    <row r="61" spans="1:22" ht="15" customHeight="1">
      <c r="A61" s="198">
        <v>57</v>
      </c>
      <c r="B61" s="37"/>
      <c r="C61" s="7"/>
      <c r="D61" s="38"/>
      <c r="E61" s="17"/>
      <c r="F61" s="38"/>
      <c r="G61" s="16"/>
      <c r="H61" s="38"/>
      <c r="I61" s="274" t="str">
        <f t="shared" si="17"/>
        <v/>
      </c>
      <c r="J61" s="176"/>
      <c r="K61" s="195" t="str">
        <f t="shared" si="10"/>
        <v/>
      </c>
      <c r="L61" s="32" t="str">
        <f t="shared" si="11"/>
        <v/>
      </c>
      <c r="M61" s="32" t="str">
        <f t="shared" si="12"/>
        <v/>
      </c>
      <c r="N61" s="110" t="str">
        <f t="shared" si="13"/>
        <v/>
      </c>
      <c r="O61" s="32" t="str">
        <f t="shared" si="14"/>
        <v/>
      </c>
      <c r="P61" s="32" t="str">
        <f t="shared" si="15"/>
        <v/>
      </c>
      <c r="Q61" s="32" t="str">
        <f t="shared" si="16"/>
        <v/>
      </c>
      <c r="R61" s="603"/>
      <c r="S61" s="281" t="str">
        <f t="shared" si="18"/>
        <v/>
      </c>
      <c r="T61" s="7"/>
      <c r="U61" s="23" t="str" cm="1">
        <f t="array" ref="U61">IF(OR(S61="",I61=""),"",_xlfn.IFS(
ROUND(IFERROR(VALUE(TRIM(SUBSTITUTE(S61,CHAR(160),""))),0),2)&gt;
ROUND(IFERROR(VALUE(TRIM(SUBSTITUTE(I61,CHAR(160),""))),0),2),
"KO : Le montant retenu est supérieur au montant présenté. Merci de revoir la ligne de contribution ou plafonner son montant.",
ROUND(IFERROR(VALUE(TRIM(SUBSTITUTE(I61,CHAR(160),""))),0),2)=0,
"",
ROUND(IFERROR(VALUE(TRIM(SUBSTITUTE(S61,CHAR(160),""))),0),2)=
ROUND(IFERROR(VALUE(TRIM(SUBSTITUTE(I61,CHAR(160),""))),0),2),
"OK",
ROUND(IFERROR(VALUE(TRIM(SUBSTITUTE(S61,CHAR(160),""))),0),2)=0,
"Attention : Montant présenté entièrement rejeté.",
ROUND(IFERROR(VALUE(TRIM(SUBSTITUTE(S61,CHAR(160),""))),0),2)&lt;
ROUND(IFERROR(VALUE(TRIM(SUBSTITUTE(I61,CHAR(160),""))),0),2),
"Attention : Montant présenté partiellement rejeté.",
TRUE,""
))</f>
        <v/>
      </c>
      <c r="V61" s="32" t="str">
        <f t="shared" si="19"/>
        <v/>
      </c>
    </row>
    <row r="62" spans="1:22" ht="15" customHeight="1">
      <c r="A62" s="198">
        <v>58</v>
      </c>
      <c r="B62" s="37"/>
      <c r="C62" s="7"/>
      <c r="D62" s="38"/>
      <c r="E62" s="17"/>
      <c r="F62" s="38"/>
      <c r="G62" s="16"/>
      <c r="H62" s="38"/>
      <c r="I62" s="274" t="str">
        <f t="shared" si="17"/>
        <v/>
      </c>
      <c r="J62" s="176"/>
      <c r="K62" s="195" t="str">
        <f t="shared" si="10"/>
        <v/>
      </c>
      <c r="L62" s="32" t="str">
        <f t="shared" si="11"/>
        <v/>
      </c>
      <c r="M62" s="32" t="str">
        <f t="shared" si="12"/>
        <v/>
      </c>
      <c r="N62" s="110" t="str">
        <f t="shared" si="13"/>
        <v/>
      </c>
      <c r="O62" s="32" t="str">
        <f t="shared" si="14"/>
        <v/>
      </c>
      <c r="P62" s="32" t="str">
        <f t="shared" si="15"/>
        <v/>
      </c>
      <c r="Q62" s="32" t="str">
        <f t="shared" si="16"/>
        <v/>
      </c>
      <c r="R62" s="603"/>
      <c r="S62" s="281" t="str">
        <f t="shared" si="18"/>
        <v/>
      </c>
      <c r="T62" s="7"/>
      <c r="U62" s="23" t="str" cm="1">
        <f t="array" ref="U62">IF(OR(S62="",I62=""),"",_xlfn.IFS(
ROUND(IFERROR(VALUE(TRIM(SUBSTITUTE(S62,CHAR(160),""))),0),2)&gt;
ROUND(IFERROR(VALUE(TRIM(SUBSTITUTE(I62,CHAR(160),""))),0),2),
"KO : Le montant retenu est supérieur au montant présenté. Merci de revoir la ligne de contribution ou plafonner son montant.",
ROUND(IFERROR(VALUE(TRIM(SUBSTITUTE(I62,CHAR(160),""))),0),2)=0,
"",
ROUND(IFERROR(VALUE(TRIM(SUBSTITUTE(S62,CHAR(160),""))),0),2)=
ROUND(IFERROR(VALUE(TRIM(SUBSTITUTE(I62,CHAR(160),""))),0),2),
"OK",
ROUND(IFERROR(VALUE(TRIM(SUBSTITUTE(S62,CHAR(160),""))),0),2)=0,
"Attention : Montant présenté entièrement rejeté.",
ROUND(IFERROR(VALUE(TRIM(SUBSTITUTE(S62,CHAR(160),""))),0),2)&lt;
ROUND(IFERROR(VALUE(TRIM(SUBSTITUTE(I62,CHAR(160),""))),0),2),
"Attention : Montant présenté partiellement rejeté.",
TRUE,""
))</f>
        <v/>
      </c>
      <c r="V62" s="32" t="str">
        <f t="shared" si="19"/>
        <v/>
      </c>
    </row>
    <row r="63" spans="1:22" ht="15" customHeight="1">
      <c r="A63" s="198">
        <v>59</v>
      </c>
      <c r="B63" s="37"/>
      <c r="C63" s="7"/>
      <c r="D63" s="38"/>
      <c r="E63" s="17"/>
      <c r="F63" s="38"/>
      <c r="G63" s="16"/>
      <c r="H63" s="38"/>
      <c r="I63" s="274" t="str">
        <f t="shared" si="17"/>
        <v/>
      </c>
      <c r="J63" s="176"/>
      <c r="K63" s="195" t="str">
        <f t="shared" si="10"/>
        <v/>
      </c>
      <c r="L63" s="32" t="str">
        <f t="shared" si="11"/>
        <v/>
      </c>
      <c r="M63" s="32" t="str">
        <f t="shared" si="12"/>
        <v/>
      </c>
      <c r="N63" s="110" t="str">
        <f t="shared" si="13"/>
        <v/>
      </c>
      <c r="O63" s="32" t="str">
        <f t="shared" si="14"/>
        <v/>
      </c>
      <c r="P63" s="32" t="str">
        <f t="shared" si="15"/>
        <v/>
      </c>
      <c r="Q63" s="32" t="str">
        <f t="shared" si="16"/>
        <v/>
      </c>
      <c r="R63" s="603"/>
      <c r="S63" s="281" t="str">
        <f t="shared" si="18"/>
        <v/>
      </c>
      <c r="T63" s="7"/>
      <c r="U63" s="23" t="str" cm="1">
        <f t="array" ref="U63">IF(OR(S63="",I63=""),"",_xlfn.IFS(
ROUND(IFERROR(VALUE(TRIM(SUBSTITUTE(S63,CHAR(160),""))),0),2)&gt;
ROUND(IFERROR(VALUE(TRIM(SUBSTITUTE(I63,CHAR(160),""))),0),2),
"KO : Le montant retenu est supérieur au montant présenté. Merci de revoir la ligne de contribution ou plafonner son montant.",
ROUND(IFERROR(VALUE(TRIM(SUBSTITUTE(I63,CHAR(160),""))),0),2)=0,
"",
ROUND(IFERROR(VALUE(TRIM(SUBSTITUTE(S63,CHAR(160),""))),0),2)=
ROUND(IFERROR(VALUE(TRIM(SUBSTITUTE(I63,CHAR(160),""))),0),2),
"OK",
ROUND(IFERROR(VALUE(TRIM(SUBSTITUTE(S63,CHAR(160),""))),0),2)=0,
"Attention : Montant présenté entièrement rejeté.",
ROUND(IFERROR(VALUE(TRIM(SUBSTITUTE(S63,CHAR(160),""))),0),2)&lt;
ROUND(IFERROR(VALUE(TRIM(SUBSTITUTE(I63,CHAR(160),""))),0),2),
"Attention : Montant présenté partiellement rejeté.",
TRUE,""
))</f>
        <v/>
      </c>
      <c r="V63" s="32" t="str">
        <f t="shared" si="19"/>
        <v/>
      </c>
    </row>
    <row r="64" spans="1:22" ht="15" customHeight="1">
      <c r="A64" s="198">
        <v>60</v>
      </c>
      <c r="B64" s="37"/>
      <c r="C64" s="7"/>
      <c r="D64" s="38"/>
      <c r="E64" s="17"/>
      <c r="F64" s="38"/>
      <c r="G64" s="16"/>
      <c r="H64" s="38"/>
      <c r="I64" s="274" t="str">
        <f t="shared" si="17"/>
        <v/>
      </c>
      <c r="J64" s="176"/>
      <c r="K64" s="195" t="str">
        <f t="shared" si="10"/>
        <v/>
      </c>
      <c r="L64" s="32" t="str">
        <f t="shared" si="11"/>
        <v/>
      </c>
      <c r="M64" s="32" t="str">
        <f t="shared" si="12"/>
        <v/>
      </c>
      <c r="N64" s="110" t="str">
        <f t="shared" si="13"/>
        <v/>
      </c>
      <c r="O64" s="32" t="str">
        <f t="shared" si="14"/>
        <v/>
      </c>
      <c r="P64" s="32" t="str">
        <f t="shared" si="15"/>
        <v/>
      </c>
      <c r="Q64" s="32" t="str">
        <f t="shared" si="16"/>
        <v/>
      </c>
      <c r="R64" s="603"/>
      <c r="S64" s="281" t="str">
        <f t="shared" si="18"/>
        <v/>
      </c>
      <c r="T64" s="7"/>
      <c r="U64" s="23" t="str" cm="1">
        <f t="array" ref="U64">IF(OR(S64="",I64=""),"",_xlfn.IFS(
ROUND(IFERROR(VALUE(TRIM(SUBSTITUTE(S64,CHAR(160),""))),0),2)&gt;
ROUND(IFERROR(VALUE(TRIM(SUBSTITUTE(I64,CHAR(160),""))),0),2),
"KO : Le montant retenu est supérieur au montant présenté. Merci de revoir la ligne de contribution ou plafonner son montant.",
ROUND(IFERROR(VALUE(TRIM(SUBSTITUTE(I64,CHAR(160),""))),0),2)=0,
"",
ROUND(IFERROR(VALUE(TRIM(SUBSTITUTE(S64,CHAR(160),""))),0),2)=
ROUND(IFERROR(VALUE(TRIM(SUBSTITUTE(I64,CHAR(160),""))),0),2),
"OK",
ROUND(IFERROR(VALUE(TRIM(SUBSTITUTE(S64,CHAR(160),""))),0),2)=0,
"Attention : Montant présenté entièrement rejeté.",
ROUND(IFERROR(VALUE(TRIM(SUBSTITUTE(S64,CHAR(160),""))),0),2)&lt;
ROUND(IFERROR(VALUE(TRIM(SUBSTITUTE(I64,CHAR(160),""))),0),2),
"Attention : Montant présenté partiellement rejeté.",
TRUE,""
))</f>
        <v/>
      </c>
      <c r="V64" s="32" t="str">
        <f t="shared" si="19"/>
        <v/>
      </c>
    </row>
    <row r="65" spans="1:22" ht="15" customHeight="1">
      <c r="A65" s="198">
        <v>61</v>
      </c>
      <c r="B65" s="37"/>
      <c r="C65" s="7"/>
      <c r="D65" s="38"/>
      <c r="E65" s="17"/>
      <c r="F65" s="38"/>
      <c r="G65" s="16"/>
      <c r="H65" s="38"/>
      <c r="I65" s="274" t="str">
        <f t="shared" si="17"/>
        <v/>
      </c>
      <c r="J65" s="176"/>
      <c r="K65" s="195" t="str">
        <f t="shared" si="10"/>
        <v/>
      </c>
      <c r="L65" s="32" t="str">
        <f t="shared" si="11"/>
        <v/>
      </c>
      <c r="M65" s="32" t="str">
        <f t="shared" si="12"/>
        <v/>
      </c>
      <c r="N65" s="110" t="str">
        <f t="shared" si="13"/>
        <v/>
      </c>
      <c r="O65" s="32" t="str">
        <f t="shared" si="14"/>
        <v/>
      </c>
      <c r="P65" s="32" t="str">
        <f t="shared" si="15"/>
        <v/>
      </c>
      <c r="Q65" s="32" t="str">
        <f t="shared" si="16"/>
        <v/>
      </c>
      <c r="R65" s="603"/>
      <c r="S65" s="281" t="str">
        <f t="shared" si="18"/>
        <v/>
      </c>
      <c r="T65" s="7"/>
      <c r="U65" s="23" t="str" cm="1">
        <f t="array" ref="U65">IF(OR(S65="",I65=""),"",_xlfn.IFS(
ROUND(IFERROR(VALUE(TRIM(SUBSTITUTE(S65,CHAR(160),""))),0),2)&gt;
ROUND(IFERROR(VALUE(TRIM(SUBSTITUTE(I65,CHAR(160),""))),0),2),
"KO : Le montant retenu est supérieur au montant présenté. Merci de revoir la ligne de contribution ou plafonner son montant.",
ROUND(IFERROR(VALUE(TRIM(SUBSTITUTE(I65,CHAR(160),""))),0),2)=0,
"",
ROUND(IFERROR(VALUE(TRIM(SUBSTITUTE(S65,CHAR(160),""))),0),2)=
ROUND(IFERROR(VALUE(TRIM(SUBSTITUTE(I65,CHAR(160),""))),0),2),
"OK",
ROUND(IFERROR(VALUE(TRIM(SUBSTITUTE(S65,CHAR(160),""))),0),2)=0,
"Attention : Montant présenté entièrement rejeté.",
ROUND(IFERROR(VALUE(TRIM(SUBSTITUTE(S65,CHAR(160),""))),0),2)&lt;
ROUND(IFERROR(VALUE(TRIM(SUBSTITUTE(I65,CHAR(160),""))),0),2),
"Attention : Montant présenté partiellement rejeté.",
TRUE,""
))</f>
        <v/>
      </c>
      <c r="V65" s="32" t="str">
        <f t="shared" si="19"/>
        <v/>
      </c>
    </row>
    <row r="66" spans="1:22" ht="15" customHeight="1">
      <c r="A66" s="198">
        <v>62</v>
      </c>
      <c r="B66" s="37"/>
      <c r="C66" s="7"/>
      <c r="D66" s="38"/>
      <c r="E66" s="17"/>
      <c r="F66" s="38"/>
      <c r="G66" s="16"/>
      <c r="H66" s="38"/>
      <c r="I66" s="274" t="str">
        <f t="shared" si="17"/>
        <v/>
      </c>
      <c r="J66" s="176"/>
      <c r="K66" s="195" t="str">
        <f t="shared" si="10"/>
        <v/>
      </c>
      <c r="L66" s="32" t="str">
        <f t="shared" si="11"/>
        <v/>
      </c>
      <c r="M66" s="32" t="str">
        <f t="shared" si="12"/>
        <v/>
      </c>
      <c r="N66" s="110" t="str">
        <f t="shared" si="13"/>
        <v/>
      </c>
      <c r="O66" s="32" t="str">
        <f t="shared" si="14"/>
        <v/>
      </c>
      <c r="P66" s="32" t="str">
        <f t="shared" si="15"/>
        <v/>
      </c>
      <c r="Q66" s="32" t="str">
        <f t="shared" si="16"/>
        <v/>
      </c>
      <c r="R66" s="603"/>
      <c r="S66" s="281" t="str">
        <f t="shared" si="18"/>
        <v/>
      </c>
      <c r="T66" s="7"/>
      <c r="U66" s="23" t="str" cm="1">
        <f t="array" ref="U66">IF(OR(S66="",I66=""),"",_xlfn.IFS(
ROUND(IFERROR(VALUE(TRIM(SUBSTITUTE(S66,CHAR(160),""))),0),2)&gt;
ROUND(IFERROR(VALUE(TRIM(SUBSTITUTE(I66,CHAR(160),""))),0),2),
"KO : Le montant retenu est supérieur au montant présenté. Merci de revoir la ligne de contribution ou plafonner son montant.",
ROUND(IFERROR(VALUE(TRIM(SUBSTITUTE(I66,CHAR(160),""))),0),2)=0,
"",
ROUND(IFERROR(VALUE(TRIM(SUBSTITUTE(S66,CHAR(160),""))),0),2)=
ROUND(IFERROR(VALUE(TRIM(SUBSTITUTE(I66,CHAR(160),""))),0),2),
"OK",
ROUND(IFERROR(VALUE(TRIM(SUBSTITUTE(S66,CHAR(160),""))),0),2)=0,
"Attention : Montant présenté entièrement rejeté.",
ROUND(IFERROR(VALUE(TRIM(SUBSTITUTE(S66,CHAR(160),""))),0),2)&lt;
ROUND(IFERROR(VALUE(TRIM(SUBSTITUTE(I66,CHAR(160),""))),0),2),
"Attention : Montant présenté partiellement rejeté.",
TRUE,""
))</f>
        <v/>
      </c>
      <c r="V66" s="32" t="str">
        <f t="shared" si="19"/>
        <v/>
      </c>
    </row>
    <row r="67" spans="1:22" ht="15" customHeight="1">
      <c r="A67" s="198">
        <v>63</v>
      </c>
      <c r="B67" s="37"/>
      <c r="C67" s="7"/>
      <c r="D67" s="38"/>
      <c r="E67" s="17"/>
      <c r="F67" s="38"/>
      <c r="G67" s="16"/>
      <c r="H67" s="38"/>
      <c r="I67" s="274" t="str">
        <f t="shared" si="17"/>
        <v/>
      </c>
      <c r="J67" s="176"/>
      <c r="K67" s="195" t="str">
        <f t="shared" si="10"/>
        <v/>
      </c>
      <c r="L67" s="32" t="str">
        <f t="shared" si="11"/>
        <v/>
      </c>
      <c r="M67" s="32" t="str">
        <f t="shared" si="12"/>
        <v/>
      </c>
      <c r="N67" s="110" t="str">
        <f t="shared" si="13"/>
        <v/>
      </c>
      <c r="O67" s="32" t="str">
        <f t="shared" si="14"/>
        <v/>
      </c>
      <c r="P67" s="32" t="str">
        <f t="shared" si="15"/>
        <v/>
      </c>
      <c r="Q67" s="32" t="str">
        <f t="shared" si="16"/>
        <v/>
      </c>
      <c r="R67" s="603"/>
      <c r="S67" s="281" t="str">
        <f t="shared" si="18"/>
        <v/>
      </c>
      <c r="T67" s="7"/>
      <c r="U67" s="23" t="str" cm="1">
        <f t="array" ref="U67">IF(OR(S67="",I67=""),"",_xlfn.IFS(
ROUND(IFERROR(VALUE(TRIM(SUBSTITUTE(S67,CHAR(160),""))),0),2)&gt;
ROUND(IFERROR(VALUE(TRIM(SUBSTITUTE(I67,CHAR(160),""))),0),2),
"KO : Le montant retenu est supérieur au montant présenté. Merci de revoir la ligne de contribution ou plafonner son montant.",
ROUND(IFERROR(VALUE(TRIM(SUBSTITUTE(I67,CHAR(160),""))),0),2)=0,
"",
ROUND(IFERROR(VALUE(TRIM(SUBSTITUTE(S67,CHAR(160),""))),0),2)=
ROUND(IFERROR(VALUE(TRIM(SUBSTITUTE(I67,CHAR(160),""))),0),2),
"OK",
ROUND(IFERROR(VALUE(TRIM(SUBSTITUTE(S67,CHAR(160),""))),0),2)=0,
"Attention : Montant présenté entièrement rejeté.",
ROUND(IFERROR(VALUE(TRIM(SUBSTITUTE(S67,CHAR(160),""))),0),2)&lt;
ROUND(IFERROR(VALUE(TRIM(SUBSTITUTE(I67,CHAR(160),""))),0),2),
"Attention : Montant présenté partiellement rejeté.",
TRUE,""
))</f>
        <v/>
      </c>
      <c r="V67" s="32" t="str">
        <f t="shared" si="19"/>
        <v/>
      </c>
    </row>
    <row r="68" spans="1:22" ht="15" customHeight="1">
      <c r="A68" s="198">
        <v>64</v>
      </c>
      <c r="B68" s="37"/>
      <c r="C68" s="7"/>
      <c r="D68" s="38"/>
      <c r="E68" s="17"/>
      <c r="F68" s="38"/>
      <c r="G68" s="16"/>
      <c r="H68" s="38"/>
      <c r="I68" s="274" t="str">
        <f t="shared" si="17"/>
        <v/>
      </c>
      <c r="J68" s="176"/>
      <c r="K68" s="195" t="str">
        <f t="shared" si="10"/>
        <v/>
      </c>
      <c r="L68" s="32" t="str">
        <f t="shared" si="11"/>
        <v/>
      </c>
      <c r="M68" s="32" t="str">
        <f t="shared" si="12"/>
        <v/>
      </c>
      <c r="N68" s="110" t="str">
        <f t="shared" si="13"/>
        <v/>
      </c>
      <c r="O68" s="32" t="str">
        <f t="shared" si="14"/>
        <v/>
      </c>
      <c r="P68" s="32" t="str">
        <f t="shared" si="15"/>
        <v/>
      </c>
      <c r="Q68" s="32" t="str">
        <f t="shared" si="16"/>
        <v/>
      </c>
      <c r="R68" s="603"/>
      <c r="S68" s="281" t="str">
        <f t="shared" ref="S68:S104" si="20">IF(OR(N68="",P68=""),"",IF(IFERROR(VALUE(TRIM(SUBSTITUTE(N68,CHAR(160),""))),0)*IFERROR(VALUE(TRIM(SUBSTITUTE(P68,CHAR(160),""))),0)=0,"",IFERROR(VALUE(TRIM(SUBSTITUTE(N68,CHAR(160),""))),0)*IFERROR(VALUE(TRIM(SUBSTITUTE(P68,CHAR(160),""))),0)))</f>
        <v/>
      </c>
      <c r="T68" s="7"/>
      <c r="U68" s="23" t="str" cm="1">
        <f t="array" ref="U68">IF(OR(S68="",I68=""),"",_xlfn.IFS(
ROUND(IFERROR(VALUE(TRIM(SUBSTITUTE(S68,CHAR(160),""))),0),2)&gt;
ROUND(IFERROR(VALUE(TRIM(SUBSTITUTE(I68,CHAR(160),""))),0),2),
"KO : Le montant retenu est supérieur au montant présenté. Merci de revoir la ligne de contribution ou plafonner son montant.",
ROUND(IFERROR(VALUE(TRIM(SUBSTITUTE(I68,CHAR(160),""))),0),2)=0,
"",
ROUND(IFERROR(VALUE(TRIM(SUBSTITUTE(S68,CHAR(160),""))),0),2)=
ROUND(IFERROR(VALUE(TRIM(SUBSTITUTE(I68,CHAR(160),""))),0),2),
"OK",
ROUND(IFERROR(VALUE(TRIM(SUBSTITUTE(S68,CHAR(160),""))),0),2)=0,
"Attention : Montant présenté entièrement rejeté.",
ROUND(IFERROR(VALUE(TRIM(SUBSTITUTE(S68,CHAR(160),""))),0),2)&lt;
ROUND(IFERROR(VALUE(TRIM(SUBSTITUTE(I68,CHAR(160),""))),0),2),
"Attention : Montant présenté partiellement rejeté.",
TRUE,""
))</f>
        <v/>
      </c>
      <c r="V68" s="32" t="str">
        <f t="shared" ref="V68:V104" si="21">IF(OR(I68="",S68=""),"",(IFERROR(VALUE(TRIM(SUBSTITUTE(I68,CHAR(160),""))),0))-(IFERROR(VALUE(TRIM(SUBSTITUTE(S68,CHAR(160),""))),0)))</f>
        <v/>
      </c>
    </row>
    <row r="69" spans="1:22" ht="15" customHeight="1">
      <c r="A69" s="198">
        <v>65</v>
      </c>
      <c r="B69" s="37"/>
      <c r="C69" s="7"/>
      <c r="D69" s="38"/>
      <c r="E69" s="17"/>
      <c r="F69" s="38"/>
      <c r="G69" s="16"/>
      <c r="H69" s="38"/>
      <c r="I69" s="274" t="str">
        <f t="shared" si="17"/>
        <v/>
      </c>
      <c r="J69" s="176"/>
      <c r="K69" s="195" t="str">
        <f t="shared" si="10"/>
        <v/>
      </c>
      <c r="L69" s="32" t="str">
        <f t="shared" si="11"/>
        <v/>
      </c>
      <c r="M69" s="32" t="str">
        <f t="shared" si="12"/>
        <v/>
      </c>
      <c r="N69" s="110" t="str">
        <f t="shared" si="13"/>
        <v/>
      </c>
      <c r="O69" s="32" t="str">
        <f t="shared" si="14"/>
        <v/>
      </c>
      <c r="P69" s="32" t="str">
        <f t="shared" si="15"/>
        <v/>
      </c>
      <c r="Q69" s="32" t="str">
        <f t="shared" si="16"/>
        <v/>
      </c>
      <c r="R69" s="603"/>
      <c r="S69" s="281" t="str">
        <f t="shared" si="20"/>
        <v/>
      </c>
      <c r="T69" s="7"/>
      <c r="U69" s="23" t="str" cm="1">
        <f t="array" ref="U69">IF(OR(S69="",I69=""),"",_xlfn.IFS(
ROUND(IFERROR(VALUE(TRIM(SUBSTITUTE(S69,CHAR(160),""))),0),2)&gt;
ROUND(IFERROR(VALUE(TRIM(SUBSTITUTE(I69,CHAR(160),""))),0),2),
"KO : Le montant retenu est supérieur au montant présenté. Merci de revoir la ligne de contribution ou plafonner son montant.",
ROUND(IFERROR(VALUE(TRIM(SUBSTITUTE(I69,CHAR(160),""))),0),2)=0,
"",
ROUND(IFERROR(VALUE(TRIM(SUBSTITUTE(S69,CHAR(160),""))),0),2)=
ROUND(IFERROR(VALUE(TRIM(SUBSTITUTE(I69,CHAR(160),""))),0),2),
"OK",
ROUND(IFERROR(VALUE(TRIM(SUBSTITUTE(S69,CHAR(160),""))),0),2)=0,
"Attention : Montant présenté entièrement rejeté.",
ROUND(IFERROR(VALUE(TRIM(SUBSTITUTE(S69,CHAR(160),""))),0),2)&lt;
ROUND(IFERROR(VALUE(TRIM(SUBSTITUTE(I69,CHAR(160),""))),0),2),
"Attention : Montant présenté partiellement rejeté.",
TRUE,""
))</f>
        <v/>
      </c>
      <c r="V69" s="32" t="str">
        <f t="shared" si="21"/>
        <v/>
      </c>
    </row>
    <row r="70" spans="1:22" ht="15" customHeight="1">
      <c r="A70" s="198">
        <v>66</v>
      </c>
      <c r="B70" s="37"/>
      <c r="C70" s="7"/>
      <c r="D70" s="38"/>
      <c r="E70" s="17"/>
      <c r="F70" s="38"/>
      <c r="G70" s="16"/>
      <c r="H70" s="38"/>
      <c r="I70" s="274" t="str">
        <f t="shared" ref="I70:I104" si="22">IF(OR(G70="",E70=""),"",IF((IFERROR(VALUE(TRIM(SUBSTITUTE(G70,CHAR(160),""))),0))*(IFERROR(VALUE(TRIM(SUBSTITUTE(E70,CHAR(160),""))),0))=0,"",(IFERROR(VALUE(TRIM(SUBSTITUTE(G70,CHAR(160),""))),0))*(IFERROR(VALUE(TRIM(SUBSTITUTE(E70,CHAR(160),""))),0))))</f>
        <v/>
      </c>
      <c r="J70" s="176"/>
      <c r="K70" s="195" t="str">
        <f t="shared" ref="K70:K104" si="23">IF(B70="","",B70)</f>
        <v/>
      </c>
      <c r="L70" s="32" t="str">
        <f t="shared" ref="L70:L104" si="24">IF(C70="","",C70)</f>
        <v/>
      </c>
      <c r="M70" s="32" t="str">
        <f t="shared" ref="M70:M104" si="25">IF(D70="","",D70)</f>
        <v/>
      </c>
      <c r="N70" s="110" t="str">
        <f t="shared" ref="N70:N104" si="26">IF(E70="","",E70)</f>
        <v/>
      </c>
      <c r="O70" s="32" t="str">
        <f t="shared" ref="O70:O104" si="27">IF(F70="","",F70)</f>
        <v/>
      </c>
      <c r="P70" s="32" t="str">
        <f t="shared" ref="P70:P104" si="28">IF(G70="","",G70)</f>
        <v/>
      </c>
      <c r="Q70" s="32" t="str">
        <f t="shared" ref="Q70:Q104" si="29">IF(H70="","",H70)</f>
        <v/>
      </c>
      <c r="R70" s="603"/>
      <c r="S70" s="281" t="str">
        <f t="shared" si="20"/>
        <v/>
      </c>
      <c r="T70" s="7"/>
      <c r="U70" s="23" t="str" cm="1">
        <f t="array" ref="U70">IF(OR(S70="",I70=""),"",_xlfn.IFS(
ROUND(IFERROR(VALUE(TRIM(SUBSTITUTE(S70,CHAR(160),""))),0),2)&gt;
ROUND(IFERROR(VALUE(TRIM(SUBSTITUTE(I70,CHAR(160),""))),0),2),
"KO : Le montant retenu est supérieur au montant présenté. Merci de revoir la ligne de contribution ou plafonner son montant.",
ROUND(IFERROR(VALUE(TRIM(SUBSTITUTE(I70,CHAR(160),""))),0),2)=0,
"",
ROUND(IFERROR(VALUE(TRIM(SUBSTITUTE(S70,CHAR(160),""))),0),2)=
ROUND(IFERROR(VALUE(TRIM(SUBSTITUTE(I70,CHAR(160),""))),0),2),
"OK",
ROUND(IFERROR(VALUE(TRIM(SUBSTITUTE(S70,CHAR(160),""))),0),2)=0,
"Attention : Montant présenté entièrement rejeté.",
ROUND(IFERROR(VALUE(TRIM(SUBSTITUTE(S70,CHAR(160),""))),0),2)&lt;
ROUND(IFERROR(VALUE(TRIM(SUBSTITUTE(I70,CHAR(160),""))),0),2),
"Attention : Montant présenté partiellement rejeté.",
TRUE,""
))</f>
        <v/>
      </c>
      <c r="V70" s="32" t="str">
        <f t="shared" si="21"/>
        <v/>
      </c>
    </row>
    <row r="71" spans="1:22" ht="15" customHeight="1">
      <c r="A71" s="198">
        <v>67</v>
      </c>
      <c r="B71" s="37"/>
      <c r="C71" s="7"/>
      <c r="D71" s="38"/>
      <c r="E71" s="17"/>
      <c r="F71" s="38"/>
      <c r="G71" s="16"/>
      <c r="H71" s="38"/>
      <c r="I71" s="274" t="str">
        <f t="shared" si="22"/>
        <v/>
      </c>
      <c r="J71" s="176"/>
      <c r="K71" s="195" t="str">
        <f t="shared" si="23"/>
        <v/>
      </c>
      <c r="L71" s="32" t="str">
        <f t="shared" si="24"/>
        <v/>
      </c>
      <c r="M71" s="32" t="str">
        <f t="shared" si="25"/>
        <v/>
      </c>
      <c r="N71" s="110" t="str">
        <f t="shared" si="26"/>
        <v/>
      </c>
      <c r="O71" s="32" t="str">
        <f t="shared" si="27"/>
        <v/>
      </c>
      <c r="P71" s="32" t="str">
        <f t="shared" si="28"/>
        <v/>
      </c>
      <c r="Q71" s="32" t="str">
        <f t="shared" si="29"/>
        <v/>
      </c>
      <c r="R71" s="603"/>
      <c r="S71" s="281" t="str">
        <f t="shared" si="20"/>
        <v/>
      </c>
      <c r="T71" s="7"/>
      <c r="U71" s="23" t="str" cm="1">
        <f t="array" ref="U71">IF(OR(S71="",I71=""),"",_xlfn.IFS(
ROUND(IFERROR(VALUE(TRIM(SUBSTITUTE(S71,CHAR(160),""))),0),2)&gt;
ROUND(IFERROR(VALUE(TRIM(SUBSTITUTE(I71,CHAR(160),""))),0),2),
"KO : Le montant retenu est supérieur au montant présenté. Merci de revoir la ligne de contribution ou plafonner son montant.",
ROUND(IFERROR(VALUE(TRIM(SUBSTITUTE(I71,CHAR(160),""))),0),2)=0,
"",
ROUND(IFERROR(VALUE(TRIM(SUBSTITUTE(S71,CHAR(160),""))),0),2)=
ROUND(IFERROR(VALUE(TRIM(SUBSTITUTE(I71,CHAR(160),""))),0),2),
"OK",
ROUND(IFERROR(VALUE(TRIM(SUBSTITUTE(S71,CHAR(160),""))),0),2)=0,
"Attention : Montant présenté entièrement rejeté.",
ROUND(IFERROR(VALUE(TRIM(SUBSTITUTE(S71,CHAR(160),""))),0),2)&lt;
ROUND(IFERROR(VALUE(TRIM(SUBSTITUTE(I71,CHAR(160),""))),0),2),
"Attention : Montant présenté partiellement rejeté.",
TRUE,""
))</f>
        <v/>
      </c>
      <c r="V71" s="32" t="str">
        <f t="shared" si="21"/>
        <v/>
      </c>
    </row>
    <row r="72" spans="1:22" ht="15" customHeight="1">
      <c r="A72" s="198">
        <v>68</v>
      </c>
      <c r="B72" s="37"/>
      <c r="C72" s="7"/>
      <c r="D72" s="38"/>
      <c r="E72" s="17"/>
      <c r="F72" s="38"/>
      <c r="G72" s="16"/>
      <c r="H72" s="38"/>
      <c r="I72" s="274" t="str">
        <f t="shared" si="22"/>
        <v/>
      </c>
      <c r="J72" s="176"/>
      <c r="K72" s="195" t="str">
        <f t="shared" si="23"/>
        <v/>
      </c>
      <c r="L72" s="32" t="str">
        <f t="shared" si="24"/>
        <v/>
      </c>
      <c r="M72" s="32" t="str">
        <f t="shared" si="25"/>
        <v/>
      </c>
      <c r="N72" s="110" t="str">
        <f t="shared" si="26"/>
        <v/>
      </c>
      <c r="O72" s="32" t="str">
        <f t="shared" si="27"/>
        <v/>
      </c>
      <c r="P72" s="32" t="str">
        <f t="shared" si="28"/>
        <v/>
      </c>
      <c r="Q72" s="32" t="str">
        <f t="shared" si="29"/>
        <v/>
      </c>
      <c r="R72" s="603"/>
      <c r="S72" s="281" t="str">
        <f t="shared" si="20"/>
        <v/>
      </c>
      <c r="T72" s="7"/>
      <c r="U72" s="23" t="str" cm="1">
        <f t="array" ref="U72">IF(OR(S72="",I72=""),"",_xlfn.IFS(
ROUND(IFERROR(VALUE(TRIM(SUBSTITUTE(S72,CHAR(160),""))),0),2)&gt;
ROUND(IFERROR(VALUE(TRIM(SUBSTITUTE(I72,CHAR(160),""))),0),2),
"KO : Le montant retenu est supérieur au montant présenté. Merci de revoir la ligne de contribution ou plafonner son montant.",
ROUND(IFERROR(VALUE(TRIM(SUBSTITUTE(I72,CHAR(160),""))),0),2)=0,
"",
ROUND(IFERROR(VALUE(TRIM(SUBSTITUTE(S72,CHAR(160),""))),0),2)=
ROUND(IFERROR(VALUE(TRIM(SUBSTITUTE(I72,CHAR(160),""))),0),2),
"OK",
ROUND(IFERROR(VALUE(TRIM(SUBSTITUTE(S72,CHAR(160),""))),0),2)=0,
"Attention : Montant présenté entièrement rejeté.",
ROUND(IFERROR(VALUE(TRIM(SUBSTITUTE(S72,CHAR(160),""))),0),2)&lt;
ROUND(IFERROR(VALUE(TRIM(SUBSTITUTE(I72,CHAR(160),""))),0),2),
"Attention : Montant présenté partiellement rejeté.",
TRUE,""
))</f>
        <v/>
      </c>
      <c r="V72" s="32" t="str">
        <f t="shared" si="21"/>
        <v/>
      </c>
    </row>
    <row r="73" spans="1:22" ht="15" customHeight="1">
      <c r="A73" s="198">
        <v>69</v>
      </c>
      <c r="B73" s="37"/>
      <c r="C73" s="7"/>
      <c r="D73" s="38"/>
      <c r="E73" s="17"/>
      <c r="F73" s="38"/>
      <c r="G73" s="16"/>
      <c r="H73" s="38"/>
      <c r="I73" s="274" t="str">
        <f t="shared" si="22"/>
        <v/>
      </c>
      <c r="J73" s="176"/>
      <c r="K73" s="195" t="str">
        <f t="shared" si="23"/>
        <v/>
      </c>
      <c r="L73" s="32" t="str">
        <f t="shared" si="24"/>
        <v/>
      </c>
      <c r="M73" s="32" t="str">
        <f t="shared" si="25"/>
        <v/>
      </c>
      <c r="N73" s="110" t="str">
        <f t="shared" si="26"/>
        <v/>
      </c>
      <c r="O73" s="32" t="str">
        <f t="shared" si="27"/>
        <v/>
      </c>
      <c r="P73" s="32" t="str">
        <f t="shared" si="28"/>
        <v/>
      </c>
      <c r="Q73" s="32" t="str">
        <f t="shared" si="29"/>
        <v/>
      </c>
      <c r="R73" s="603"/>
      <c r="S73" s="281" t="str">
        <f t="shared" si="20"/>
        <v/>
      </c>
      <c r="T73" s="7"/>
      <c r="U73" s="23" t="str" cm="1">
        <f t="array" ref="U73">IF(OR(S73="",I73=""),"",_xlfn.IFS(
ROUND(IFERROR(VALUE(TRIM(SUBSTITUTE(S73,CHAR(160),""))),0),2)&gt;
ROUND(IFERROR(VALUE(TRIM(SUBSTITUTE(I73,CHAR(160),""))),0),2),
"KO : Le montant retenu est supérieur au montant présenté. Merci de revoir la ligne de contribution ou plafonner son montant.",
ROUND(IFERROR(VALUE(TRIM(SUBSTITUTE(I73,CHAR(160),""))),0),2)=0,
"",
ROUND(IFERROR(VALUE(TRIM(SUBSTITUTE(S73,CHAR(160),""))),0),2)=
ROUND(IFERROR(VALUE(TRIM(SUBSTITUTE(I73,CHAR(160),""))),0),2),
"OK",
ROUND(IFERROR(VALUE(TRIM(SUBSTITUTE(S73,CHAR(160),""))),0),2)=0,
"Attention : Montant présenté entièrement rejeté.",
ROUND(IFERROR(VALUE(TRIM(SUBSTITUTE(S73,CHAR(160),""))),0),2)&lt;
ROUND(IFERROR(VALUE(TRIM(SUBSTITUTE(I73,CHAR(160),""))),0),2),
"Attention : Montant présenté partiellement rejeté.",
TRUE,""
))</f>
        <v/>
      </c>
      <c r="V73" s="32" t="str">
        <f t="shared" si="21"/>
        <v/>
      </c>
    </row>
    <row r="74" spans="1:22" ht="15" customHeight="1">
      <c r="A74" s="198">
        <v>70</v>
      </c>
      <c r="B74" s="37"/>
      <c r="C74" s="7"/>
      <c r="D74" s="38"/>
      <c r="E74" s="17"/>
      <c r="F74" s="38"/>
      <c r="G74" s="16"/>
      <c r="H74" s="38"/>
      <c r="I74" s="274" t="str">
        <f t="shared" si="22"/>
        <v/>
      </c>
      <c r="J74" s="176"/>
      <c r="K74" s="195" t="str">
        <f t="shared" si="23"/>
        <v/>
      </c>
      <c r="L74" s="32" t="str">
        <f t="shared" si="24"/>
        <v/>
      </c>
      <c r="M74" s="32" t="str">
        <f t="shared" si="25"/>
        <v/>
      </c>
      <c r="N74" s="110" t="str">
        <f t="shared" si="26"/>
        <v/>
      </c>
      <c r="O74" s="32" t="str">
        <f t="shared" si="27"/>
        <v/>
      </c>
      <c r="P74" s="32" t="str">
        <f t="shared" si="28"/>
        <v/>
      </c>
      <c r="Q74" s="32" t="str">
        <f t="shared" si="29"/>
        <v/>
      </c>
      <c r="R74" s="603"/>
      <c r="S74" s="281" t="str">
        <f t="shared" si="20"/>
        <v/>
      </c>
      <c r="T74" s="7"/>
      <c r="U74" s="23" t="str" cm="1">
        <f t="array" ref="U74">IF(OR(S74="",I74=""),"",_xlfn.IFS(
ROUND(IFERROR(VALUE(TRIM(SUBSTITUTE(S74,CHAR(160),""))),0),2)&gt;
ROUND(IFERROR(VALUE(TRIM(SUBSTITUTE(I74,CHAR(160),""))),0),2),
"KO : Le montant retenu est supérieur au montant présenté. Merci de revoir la ligne de contribution ou plafonner son montant.",
ROUND(IFERROR(VALUE(TRIM(SUBSTITUTE(I74,CHAR(160),""))),0),2)=0,
"",
ROUND(IFERROR(VALUE(TRIM(SUBSTITUTE(S74,CHAR(160),""))),0),2)=
ROUND(IFERROR(VALUE(TRIM(SUBSTITUTE(I74,CHAR(160),""))),0),2),
"OK",
ROUND(IFERROR(VALUE(TRIM(SUBSTITUTE(S74,CHAR(160),""))),0),2)=0,
"Attention : Montant présenté entièrement rejeté.",
ROUND(IFERROR(VALUE(TRIM(SUBSTITUTE(S74,CHAR(160),""))),0),2)&lt;
ROUND(IFERROR(VALUE(TRIM(SUBSTITUTE(I74,CHAR(160),""))),0),2),
"Attention : Montant présenté partiellement rejeté.",
TRUE,""
))</f>
        <v/>
      </c>
      <c r="V74" s="32" t="str">
        <f t="shared" si="21"/>
        <v/>
      </c>
    </row>
    <row r="75" spans="1:22" ht="15" customHeight="1">
      <c r="A75" s="198">
        <v>71</v>
      </c>
      <c r="B75" s="37"/>
      <c r="C75" s="7"/>
      <c r="D75" s="38"/>
      <c r="E75" s="17"/>
      <c r="F75" s="38"/>
      <c r="G75" s="16"/>
      <c r="H75" s="38"/>
      <c r="I75" s="274" t="str">
        <f t="shared" si="22"/>
        <v/>
      </c>
      <c r="J75" s="176"/>
      <c r="K75" s="195" t="str">
        <f t="shared" si="23"/>
        <v/>
      </c>
      <c r="L75" s="32" t="str">
        <f t="shared" si="24"/>
        <v/>
      </c>
      <c r="M75" s="32" t="str">
        <f t="shared" si="25"/>
        <v/>
      </c>
      <c r="N75" s="110" t="str">
        <f t="shared" si="26"/>
        <v/>
      </c>
      <c r="O75" s="32" t="str">
        <f t="shared" si="27"/>
        <v/>
      </c>
      <c r="P75" s="32" t="str">
        <f t="shared" si="28"/>
        <v/>
      </c>
      <c r="Q75" s="32" t="str">
        <f t="shared" si="29"/>
        <v/>
      </c>
      <c r="R75" s="603"/>
      <c r="S75" s="281" t="str">
        <f t="shared" si="20"/>
        <v/>
      </c>
      <c r="T75" s="7"/>
      <c r="U75" s="23" t="str" cm="1">
        <f t="array" ref="U75">IF(OR(S75="",I75=""),"",_xlfn.IFS(
ROUND(IFERROR(VALUE(TRIM(SUBSTITUTE(S75,CHAR(160),""))),0),2)&gt;
ROUND(IFERROR(VALUE(TRIM(SUBSTITUTE(I75,CHAR(160),""))),0),2),
"KO : Le montant retenu est supérieur au montant présenté. Merci de revoir la ligne de contribution ou plafonner son montant.",
ROUND(IFERROR(VALUE(TRIM(SUBSTITUTE(I75,CHAR(160),""))),0),2)=0,
"",
ROUND(IFERROR(VALUE(TRIM(SUBSTITUTE(S75,CHAR(160),""))),0),2)=
ROUND(IFERROR(VALUE(TRIM(SUBSTITUTE(I75,CHAR(160),""))),0),2),
"OK",
ROUND(IFERROR(VALUE(TRIM(SUBSTITUTE(S75,CHAR(160),""))),0),2)=0,
"Attention : Montant présenté entièrement rejeté.",
ROUND(IFERROR(VALUE(TRIM(SUBSTITUTE(S75,CHAR(160),""))),0),2)&lt;
ROUND(IFERROR(VALUE(TRIM(SUBSTITUTE(I75,CHAR(160),""))),0),2),
"Attention : Montant présenté partiellement rejeté.",
TRUE,""
))</f>
        <v/>
      </c>
      <c r="V75" s="32" t="str">
        <f t="shared" si="21"/>
        <v/>
      </c>
    </row>
    <row r="76" spans="1:22" ht="15" customHeight="1">
      <c r="A76" s="198">
        <v>72</v>
      </c>
      <c r="B76" s="37"/>
      <c r="C76" s="7"/>
      <c r="D76" s="38"/>
      <c r="E76" s="17"/>
      <c r="F76" s="38"/>
      <c r="G76" s="16"/>
      <c r="H76" s="38"/>
      <c r="I76" s="274" t="str">
        <f t="shared" si="22"/>
        <v/>
      </c>
      <c r="J76" s="176"/>
      <c r="K76" s="195" t="str">
        <f t="shared" si="23"/>
        <v/>
      </c>
      <c r="L76" s="32" t="str">
        <f t="shared" si="24"/>
        <v/>
      </c>
      <c r="M76" s="32" t="str">
        <f t="shared" si="25"/>
        <v/>
      </c>
      <c r="N76" s="110" t="str">
        <f t="shared" si="26"/>
        <v/>
      </c>
      <c r="O76" s="32" t="str">
        <f t="shared" si="27"/>
        <v/>
      </c>
      <c r="P76" s="32" t="str">
        <f t="shared" si="28"/>
        <v/>
      </c>
      <c r="Q76" s="32" t="str">
        <f t="shared" si="29"/>
        <v/>
      </c>
      <c r="R76" s="603"/>
      <c r="S76" s="281" t="str">
        <f t="shared" si="20"/>
        <v/>
      </c>
      <c r="T76" s="7"/>
      <c r="U76" s="23" t="str" cm="1">
        <f t="array" ref="U76">IF(OR(S76="",I76=""),"",_xlfn.IFS(
ROUND(IFERROR(VALUE(TRIM(SUBSTITUTE(S76,CHAR(160),""))),0),2)&gt;
ROUND(IFERROR(VALUE(TRIM(SUBSTITUTE(I76,CHAR(160),""))),0),2),
"KO : Le montant retenu est supérieur au montant présenté. Merci de revoir la ligne de contribution ou plafonner son montant.",
ROUND(IFERROR(VALUE(TRIM(SUBSTITUTE(I76,CHAR(160),""))),0),2)=0,
"",
ROUND(IFERROR(VALUE(TRIM(SUBSTITUTE(S76,CHAR(160),""))),0),2)=
ROUND(IFERROR(VALUE(TRIM(SUBSTITUTE(I76,CHAR(160),""))),0),2),
"OK",
ROUND(IFERROR(VALUE(TRIM(SUBSTITUTE(S76,CHAR(160),""))),0),2)=0,
"Attention : Montant présenté entièrement rejeté.",
ROUND(IFERROR(VALUE(TRIM(SUBSTITUTE(S76,CHAR(160),""))),0),2)&lt;
ROUND(IFERROR(VALUE(TRIM(SUBSTITUTE(I76,CHAR(160),""))),0),2),
"Attention : Montant présenté partiellement rejeté.",
TRUE,""
))</f>
        <v/>
      </c>
      <c r="V76" s="32" t="str">
        <f t="shared" si="21"/>
        <v/>
      </c>
    </row>
    <row r="77" spans="1:22" ht="15" customHeight="1">
      <c r="A77" s="198">
        <v>73</v>
      </c>
      <c r="B77" s="37"/>
      <c r="C77" s="7"/>
      <c r="D77" s="38"/>
      <c r="E77" s="17"/>
      <c r="F77" s="38"/>
      <c r="G77" s="16"/>
      <c r="H77" s="38"/>
      <c r="I77" s="274" t="str">
        <f t="shared" si="22"/>
        <v/>
      </c>
      <c r="J77" s="176"/>
      <c r="K77" s="195" t="str">
        <f t="shared" si="23"/>
        <v/>
      </c>
      <c r="L77" s="32" t="str">
        <f t="shared" si="24"/>
        <v/>
      </c>
      <c r="M77" s="32" t="str">
        <f t="shared" si="25"/>
        <v/>
      </c>
      <c r="N77" s="110" t="str">
        <f t="shared" si="26"/>
        <v/>
      </c>
      <c r="O77" s="32" t="str">
        <f t="shared" si="27"/>
        <v/>
      </c>
      <c r="P77" s="32" t="str">
        <f t="shared" si="28"/>
        <v/>
      </c>
      <c r="Q77" s="32" t="str">
        <f t="shared" si="29"/>
        <v/>
      </c>
      <c r="R77" s="603"/>
      <c r="S77" s="281" t="str">
        <f t="shared" si="20"/>
        <v/>
      </c>
      <c r="T77" s="7"/>
      <c r="U77" s="23" t="str" cm="1">
        <f t="array" ref="U77">IF(OR(S77="",I77=""),"",_xlfn.IFS(
ROUND(IFERROR(VALUE(TRIM(SUBSTITUTE(S77,CHAR(160),""))),0),2)&gt;
ROUND(IFERROR(VALUE(TRIM(SUBSTITUTE(I77,CHAR(160),""))),0),2),
"KO : Le montant retenu est supérieur au montant présenté. Merci de revoir la ligne de contribution ou plafonner son montant.",
ROUND(IFERROR(VALUE(TRIM(SUBSTITUTE(I77,CHAR(160),""))),0),2)=0,
"",
ROUND(IFERROR(VALUE(TRIM(SUBSTITUTE(S77,CHAR(160),""))),0),2)=
ROUND(IFERROR(VALUE(TRIM(SUBSTITUTE(I77,CHAR(160),""))),0),2),
"OK",
ROUND(IFERROR(VALUE(TRIM(SUBSTITUTE(S77,CHAR(160),""))),0),2)=0,
"Attention : Montant présenté entièrement rejeté.",
ROUND(IFERROR(VALUE(TRIM(SUBSTITUTE(S77,CHAR(160),""))),0),2)&lt;
ROUND(IFERROR(VALUE(TRIM(SUBSTITUTE(I77,CHAR(160),""))),0),2),
"Attention : Montant présenté partiellement rejeté.",
TRUE,""
))</f>
        <v/>
      </c>
      <c r="V77" s="32" t="str">
        <f t="shared" si="21"/>
        <v/>
      </c>
    </row>
    <row r="78" spans="1:22" ht="15" customHeight="1">
      <c r="A78" s="198">
        <v>74</v>
      </c>
      <c r="B78" s="37"/>
      <c r="C78" s="7"/>
      <c r="D78" s="38"/>
      <c r="E78" s="17"/>
      <c r="F78" s="38"/>
      <c r="G78" s="16"/>
      <c r="H78" s="38"/>
      <c r="I78" s="274" t="str">
        <f t="shared" si="22"/>
        <v/>
      </c>
      <c r="J78" s="176"/>
      <c r="K78" s="195" t="str">
        <f t="shared" si="23"/>
        <v/>
      </c>
      <c r="L78" s="32" t="str">
        <f t="shared" si="24"/>
        <v/>
      </c>
      <c r="M78" s="32" t="str">
        <f t="shared" si="25"/>
        <v/>
      </c>
      <c r="N78" s="110" t="str">
        <f t="shared" si="26"/>
        <v/>
      </c>
      <c r="O78" s="32" t="str">
        <f t="shared" si="27"/>
        <v/>
      </c>
      <c r="P78" s="32" t="str">
        <f t="shared" si="28"/>
        <v/>
      </c>
      <c r="Q78" s="32" t="str">
        <f t="shared" si="29"/>
        <v/>
      </c>
      <c r="R78" s="603"/>
      <c r="S78" s="281" t="str">
        <f t="shared" si="20"/>
        <v/>
      </c>
      <c r="T78" s="7"/>
      <c r="U78" s="23" t="str" cm="1">
        <f t="array" ref="U78">IF(OR(S78="",I78=""),"",_xlfn.IFS(
ROUND(IFERROR(VALUE(TRIM(SUBSTITUTE(S78,CHAR(160),""))),0),2)&gt;
ROUND(IFERROR(VALUE(TRIM(SUBSTITUTE(I78,CHAR(160),""))),0),2),
"KO : Le montant retenu est supérieur au montant présenté. Merci de revoir la ligne de contribution ou plafonner son montant.",
ROUND(IFERROR(VALUE(TRIM(SUBSTITUTE(I78,CHAR(160),""))),0),2)=0,
"",
ROUND(IFERROR(VALUE(TRIM(SUBSTITUTE(S78,CHAR(160),""))),0),2)=
ROUND(IFERROR(VALUE(TRIM(SUBSTITUTE(I78,CHAR(160),""))),0),2),
"OK",
ROUND(IFERROR(VALUE(TRIM(SUBSTITUTE(S78,CHAR(160),""))),0),2)=0,
"Attention : Montant présenté entièrement rejeté.",
ROUND(IFERROR(VALUE(TRIM(SUBSTITUTE(S78,CHAR(160),""))),0),2)&lt;
ROUND(IFERROR(VALUE(TRIM(SUBSTITUTE(I78,CHAR(160),""))),0),2),
"Attention : Montant présenté partiellement rejeté.",
TRUE,""
))</f>
        <v/>
      </c>
      <c r="V78" s="32" t="str">
        <f t="shared" si="21"/>
        <v/>
      </c>
    </row>
    <row r="79" spans="1:22" ht="15" customHeight="1">
      <c r="A79" s="198">
        <v>75</v>
      </c>
      <c r="B79" s="37"/>
      <c r="C79" s="7"/>
      <c r="D79" s="38"/>
      <c r="E79" s="17"/>
      <c r="F79" s="38"/>
      <c r="G79" s="16"/>
      <c r="H79" s="38"/>
      <c r="I79" s="274" t="str">
        <f t="shared" si="22"/>
        <v/>
      </c>
      <c r="J79" s="176"/>
      <c r="K79" s="195" t="str">
        <f t="shared" si="23"/>
        <v/>
      </c>
      <c r="L79" s="32" t="str">
        <f t="shared" si="24"/>
        <v/>
      </c>
      <c r="M79" s="32" t="str">
        <f t="shared" si="25"/>
        <v/>
      </c>
      <c r="N79" s="110" t="str">
        <f t="shared" si="26"/>
        <v/>
      </c>
      <c r="O79" s="32" t="str">
        <f t="shared" si="27"/>
        <v/>
      </c>
      <c r="P79" s="32" t="str">
        <f t="shared" si="28"/>
        <v/>
      </c>
      <c r="Q79" s="32" t="str">
        <f t="shared" si="29"/>
        <v/>
      </c>
      <c r="R79" s="603"/>
      <c r="S79" s="281" t="str">
        <f t="shared" si="20"/>
        <v/>
      </c>
      <c r="T79" s="7"/>
      <c r="U79" s="23" t="str" cm="1">
        <f t="array" ref="U79">IF(OR(S79="",I79=""),"",_xlfn.IFS(
ROUND(IFERROR(VALUE(TRIM(SUBSTITUTE(S79,CHAR(160),""))),0),2)&gt;
ROUND(IFERROR(VALUE(TRIM(SUBSTITUTE(I79,CHAR(160),""))),0),2),
"KO : Le montant retenu est supérieur au montant présenté. Merci de revoir la ligne de contribution ou plafonner son montant.",
ROUND(IFERROR(VALUE(TRIM(SUBSTITUTE(I79,CHAR(160),""))),0),2)=0,
"",
ROUND(IFERROR(VALUE(TRIM(SUBSTITUTE(S79,CHAR(160),""))),0),2)=
ROUND(IFERROR(VALUE(TRIM(SUBSTITUTE(I79,CHAR(160),""))),0),2),
"OK",
ROUND(IFERROR(VALUE(TRIM(SUBSTITUTE(S79,CHAR(160),""))),0),2)=0,
"Attention : Montant présenté entièrement rejeté.",
ROUND(IFERROR(VALUE(TRIM(SUBSTITUTE(S79,CHAR(160),""))),0),2)&lt;
ROUND(IFERROR(VALUE(TRIM(SUBSTITUTE(I79,CHAR(160),""))),0),2),
"Attention : Montant présenté partiellement rejeté.",
TRUE,""
))</f>
        <v/>
      </c>
      <c r="V79" s="32" t="str">
        <f t="shared" si="21"/>
        <v/>
      </c>
    </row>
    <row r="80" spans="1:22" ht="15" customHeight="1">
      <c r="A80" s="198">
        <v>76</v>
      </c>
      <c r="B80" s="37"/>
      <c r="C80" s="7"/>
      <c r="D80" s="38"/>
      <c r="E80" s="17"/>
      <c r="F80" s="38"/>
      <c r="G80" s="16"/>
      <c r="H80" s="38"/>
      <c r="I80" s="274" t="str">
        <f t="shared" si="22"/>
        <v/>
      </c>
      <c r="J80" s="176"/>
      <c r="K80" s="195" t="str">
        <f t="shared" si="23"/>
        <v/>
      </c>
      <c r="L80" s="32" t="str">
        <f t="shared" si="24"/>
        <v/>
      </c>
      <c r="M80" s="32" t="str">
        <f t="shared" si="25"/>
        <v/>
      </c>
      <c r="N80" s="110" t="str">
        <f t="shared" si="26"/>
        <v/>
      </c>
      <c r="O80" s="32" t="str">
        <f t="shared" si="27"/>
        <v/>
      </c>
      <c r="P80" s="32" t="str">
        <f t="shared" si="28"/>
        <v/>
      </c>
      <c r="Q80" s="32" t="str">
        <f t="shared" si="29"/>
        <v/>
      </c>
      <c r="R80" s="603"/>
      <c r="S80" s="281" t="str">
        <f t="shared" si="20"/>
        <v/>
      </c>
      <c r="T80" s="7"/>
      <c r="U80" s="23" t="str" cm="1">
        <f t="array" ref="U80">IF(OR(S80="",I80=""),"",_xlfn.IFS(
ROUND(IFERROR(VALUE(TRIM(SUBSTITUTE(S80,CHAR(160),""))),0),2)&gt;
ROUND(IFERROR(VALUE(TRIM(SUBSTITUTE(I80,CHAR(160),""))),0),2),
"KO : Le montant retenu est supérieur au montant présenté. Merci de revoir la ligne de contribution ou plafonner son montant.",
ROUND(IFERROR(VALUE(TRIM(SUBSTITUTE(I80,CHAR(160),""))),0),2)=0,
"",
ROUND(IFERROR(VALUE(TRIM(SUBSTITUTE(S80,CHAR(160),""))),0),2)=
ROUND(IFERROR(VALUE(TRIM(SUBSTITUTE(I80,CHAR(160),""))),0),2),
"OK",
ROUND(IFERROR(VALUE(TRIM(SUBSTITUTE(S80,CHAR(160),""))),0),2)=0,
"Attention : Montant présenté entièrement rejeté.",
ROUND(IFERROR(VALUE(TRIM(SUBSTITUTE(S80,CHAR(160),""))),0),2)&lt;
ROUND(IFERROR(VALUE(TRIM(SUBSTITUTE(I80,CHAR(160),""))),0),2),
"Attention : Montant présenté partiellement rejeté.",
TRUE,""
))</f>
        <v/>
      </c>
      <c r="V80" s="32" t="str">
        <f t="shared" si="21"/>
        <v/>
      </c>
    </row>
    <row r="81" spans="1:22" ht="15" customHeight="1">
      <c r="A81" s="198">
        <v>77</v>
      </c>
      <c r="B81" s="37"/>
      <c r="C81" s="7"/>
      <c r="D81" s="38"/>
      <c r="E81" s="17"/>
      <c r="F81" s="38"/>
      <c r="G81" s="16"/>
      <c r="H81" s="38"/>
      <c r="I81" s="274" t="str">
        <f t="shared" si="22"/>
        <v/>
      </c>
      <c r="J81" s="176"/>
      <c r="K81" s="195" t="str">
        <f t="shared" si="23"/>
        <v/>
      </c>
      <c r="L81" s="32" t="str">
        <f t="shared" si="24"/>
        <v/>
      </c>
      <c r="M81" s="32" t="str">
        <f t="shared" si="25"/>
        <v/>
      </c>
      <c r="N81" s="110" t="str">
        <f t="shared" si="26"/>
        <v/>
      </c>
      <c r="O81" s="32" t="str">
        <f t="shared" si="27"/>
        <v/>
      </c>
      <c r="P81" s="32" t="str">
        <f t="shared" si="28"/>
        <v/>
      </c>
      <c r="Q81" s="32" t="str">
        <f t="shared" si="29"/>
        <v/>
      </c>
      <c r="R81" s="603"/>
      <c r="S81" s="281" t="str">
        <f t="shared" si="20"/>
        <v/>
      </c>
      <c r="T81" s="7"/>
      <c r="U81" s="23" t="str" cm="1">
        <f t="array" ref="U81">IF(OR(S81="",I81=""),"",_xlfn.IFS(
ROUND(IFERROR(VALUE(TRIM(SUBSTITUTE(S81,CHAR(160),""))),0),2)&gt;
ROUND(IFERROR(VALUE(TRIM(SUBSTITUTE(I81,CHAR(160),""))),0),2),
"KO : Le montant retenu est supérieur au montant présenté. Merci de revoir la ligne de contribution ou plafonner son montant.",
ROUND(IFERROR(VALUE(TRIM(SUBSTITUTE(I81,CHAR(160),""))),0),2)=0,
"",
ROUND(IFERROR(VALUE(TRIM(SUBSTITUTE(S81,CHAR(160),""))),0),2)=
ROUND(IFERROR(VALUE(TRIM(SUBSTITUTE(I81,CHAR(160),""))),0),2),
"OK",
ROUND(IFERROR(VALUE(TRIM(SUBSTITUTE(S81,CHAR(160),""))),0),2)=0,
"Attention : Montant présenté entièrement rejeté.",
ROUND(IFERROR(VALUE(TRIM(SUBSTITUTE(S81,CHAR(160),""))),0),2)&lt;
ROUND(IFERROR(VALUE(TRIM(SUBSTITUTE(I81,CHAR(160),""))),0),2),
"Attention : Montant présenté partiellement rejeté.",
TRUE,""
))</f>
        <v/>
      </c>
      <c r="V81" s="32" t="str">
        <f t="shared" si="21"/>
        <v/>
      </c>
    </row>
    <row r="82" spans="1:22" ht="15" customHeight="1">
      <c r="A82" s="198">
        <v>78</v>
      </c>
      <c r="B82" s="37"/>
      <c r="C82" s="7"/>
      <c r="D82" s="38"/>
      <c r="E82" s="17"/>
      <c r="F82" s="38"/>
      <c r="G82" s="16"/>
      <c r="H82" s="38"/>
      <c r="I82" s="274" t="str">
        <f t="shared" si="22"/>
        <v/>
      </c>
      <c r="J82" s="176"/>
      <c r="K82" s="195" t="str">
        <f t="shared" si="23"/>
        <v/>
      </c>
      <c r="L82" s="32" t="str">
        <f t="shared" si="24"/>
        <v/>
      </c>
      <c r="M82" s="32" t="str">
        <f t="shared" si="25"/>
        <v/>
      </c>
      <c r="N82" s="110" t="str">
        <f t="shared" si="26"/>
        <v/>
      </c>
      <c r="O82" s="32" t="str">
        <f t="shared" si="27"/>
        <v/>
      </c>
      <c r="P82" s="32" t="str">
        <f t="shared" si="28"/>
        <v/>
      </c>
      <c r="Q82" s="32" t="str">
        <f t="shared" si="29"/>
        <v/>
      </c>
      <c r="R82" s="603"/>
      <c r="S82" s="281" t="str">
        <f t="shared" si="20"/>
        <v/>
      </c>
      <c r="T82" s="7"/>
      <c r="U82" s="23" t="str" cm="1">
        <f t="array" ref="U82">IF(OR(S82="",I82=""),"",_xlfn.IFS(
ROUND(IFERROR(VALUE(TRIM(SUBSTITUTE(S82,CHAR(160),""))),0),2)&gt;
ROUND(IFERROR(VALUE(TRIM(SUBSTITUTE(I82,CHAR(160),""))),0),2),
"KO : Le montant retenu est supérieur au montant présenté. Merci de revoir la ligne de contribution ou plafonner son montant.",
ROUND(IFERROR(VALUE(TRIM(SUBSTITUTE(I82,CHAR(160),""))),0),2)=0,
"",
ROUND(IFERROR(VALUE(TRIM(SUBSTITUTE(S82,CHAR(160),""))),0),2)=
ROUND(IFERROR(VALUE(TRIM(SUBSTITUTE(I82,CHAR(160),""))),0),2),
"OK",
ROUND(IFERROR(VALUE(TRIM(SUBSTITUTE(S82,CHAR(160),""))),0),2)=0,
"Attention : Montant présenté entièrement rejeté.",
ROUND(IFERROR(VALUE(TRIM(SUBSTITUTE(S82,CHAR(160),""))),0),2)&lt;
ROUND(IFERROR(VALUE(TRIM(SUBSTITUTE(I82,CHAR(160),""))),0),2),
"Attention : Montant présenté partiellement rejeté.",
TRUE,""
))</f>
        <v/>
      </c>
      <c r="V82" s="32" t="str">
        <f t="shared" si="21"/>
        <v/>
      </c>
    </row>
    <row r="83" spans="1:22" ht="15" customHeight="1">
      <c r="A83" s="198">
        <v>79</v>
      </c>
      <c r="B83" s="37"/>
      <c r="C83" s="7"/>
      <c r="D83" s="38"/>
      <c r="E83" s="17"/>
      <c r="F83" s="38"/>
      <c r="G83" s="16"/>
      <c r="H83" s="38"/>
      <c r="I83" s="274" t="str">
        <f t="shared" si="22"/>
        <v/>
      </c>
      <c r="J83" s="176"/>
      <c r="K83" s="195" t="str">
        <f t="shared" si="23"/>
        <v/>
      </c>
      <c r="L83" s="32" t="str">
        <f t="shared" si="24"/>
        <v/>
      </c>
      <c r="M83" s="32" t="str">
        <f t="shared" si="25"/>
        <v/>
      </c>
      <c r="N83" s="110" t="str">
        <f t="shared" si="26"/>
        <v/>
      </c>
      <c r="O83" s="32" t="str">
        <f t="shared" si="27"/>
        <v/>
      </c>
      <c r="P83" s="32" t="str">
        <f t="shared" si="28"/>
        <v/>
      </c>
      <c r="Q83" s="32" t="str">
        <f t="shared" si="29"/>
        <v/>
      </c>
      <c r="R83" s="603"/>
      <c r="S83" s="281" t="str">
        <f t="shared" si="20"/>
        <v/>
      </c>
      <c r="T83" s="7"/>
      <c r="U83" s="23" t="str" cm="1">
        <f t="array" ref="U83">IF(OR(S83="",I83=""),"",_xlfn.IFS(
ROUND(IFERROR(VALUE(TRIM(SUBSTITUTE(S83,CHAR(160),""))),0),2)&gt;
ROUND(IFERROR(VALUE(TRIM(SUBSTITUTE(I83,CHAR(160),""))),0),2),
"KO : Le montant retenu est supérieur au montant présenté. Merci de revoir la ligne de contribution ou plafonner son montant.",
ROUND(IFERROR(VALUE(TRIM(SUBSTITUTE(I83,CHAR(160),""))),0),2)=0,
"",
ROUND(IFERROR(VALUE(TRIM(SUBSTITUTE(S83,CHAR(160),""))),0),2)=
ROUND(IFERROR(VALUE(TRIM(SUBSTITUTE(I83,CHAR(160),""))),0),2),
"OK",
ROUND(IFERROR(VALUE(TRIM(SUBSTITUTE(S83,CHAR(160),""))),0),2)=0,
"Attention : Montant présenté entièrement rejeté.",
ROUND(IFERROR(VALUE(TRIM(SUBSTITUTE(S83,CHAR(160),""))),0),2)&lt;
ROUND(IFERROR(VALUE(TRIM(SUBSTITUTE(I83,CHAR(160),""))),0),2),
"Attention : Montant présenté partiellement rejeté.",
TRUE,""
))</f>
        <v/>
      </c>
      <c r="V83" s="32" t="str">
        <f t="shared" si="21"/>
        <v/>
      </c>
    </row>
    <row r="84" spans="1:22" ht="15" customHeight="1">
      <c r="A84" s="198">
        <v>80</v>
      </c>
      <c r="B84" s="37"/>
      <c r="C84" s="7"/>
      <c r="D84" s="38"/>
      <c r="E84" s="17"/>
      <c r="F84" s="38"/>
      <c r="G84" s="16"/>
      <c r="H84" s="38"/>
      <c r="I84" s="274" t="str">
        <f t="shared" si="22"/>
        <v/>
      </c>
      <c r="J84" s="176"/>
      <c r="K84" s="195" t="str">
        <f t="shared" si="23"/>
        <v/>
      </c>
      <c r="L84" s="32" t="str">
        <f t="shared" si="24"/>
        <v/>
      </c>
      <c r="M84" s="32" t="str">
        <f t="shared" si="25"/>
        <v/>
      </c>
      <c r="N84" s="110" t="str">
        <f t="shared" si="26"/>
        <v/>
      </c>
      <c r="O84" s="32" t="str">
        <f t="shared" si="27"/>
        <v/>
      </c>
      <c r="P84" s="32" t="str">
        <f t="shared" si="28"/>
        <v/>
      </c>
      <c r="Q84" s="32" t="str">
        <f t="shared" si="29"/>
        <v/>
      </c>
      <c r="R84" s="603"/>
      <c r="S84" s="281" t="str">
        <f t="shared" si="20"/>
        <v/>
      </c>
      <c r="T84" s="7"/>
      <c r="U84" s="23" t="str" cm="1">
        <f t="array" ref="U84">IF(OR(S84="",I84=""),"",_xlfn.IFS(
ROUND(IFERROR(VALUE(TRIM(SUBSTITUTE(S84,CHAR(160),""))),0),2)&gt;
ROUND(IFERROR(VALUE(TRIM(SUBSTITUTE(I84,CHAR(160),""))),0),2),
"KO : Le montant retenu est supérieur au montant présenté. Merci de revoir la ligne de contribution ou plafonner son montant.",
ROUND(IFERROR(VALUE(TRIM(SUBSTITUTE(I84,CHAR(160),""))),0),2)=0,
"",
ROUND(IFERROR(VALUE(TRIM(SUBSTITUTE(S84,CHAR(160),""))),0),2)=
ROUND(IFERROR(VALUE(TRIM(SUBSTITUTE(I84,CHAR(160),""))),0),2),
"OK",
ROUND(IFERROR(VALUE(TRIM(SUBSTITUTE(S84,CHAR(160),""))),0),2)=0,
"Attention : Montant présenté entièrement rejeté.",
ROUND(IFERROR(VALUE(TRIM(SUBSTITUTE(S84,CHAR(160),""))),0),2)&lt;
ROUND(IFERROR(VALUE(TRIM(SUBSTITUTE(I84,CHAR(160),""))),0),2),
"Attention : Montant présenté partiellement rejeté.",
TRUE,""
))</f>
        <v/>
      </c>
      <c r="V84" s="32" t="str">
        <f t="shared" si="21"/>
        <v/>
      </c>
    </row>
    <row r="85" spans="1:22" ht="15" customHeight="1">
      <c r="A85" s="198">
        <v>81</v>
      </c>
      <c r="B85" s="37"/>
      <c r="C85" s="7"/>
      <c r="D85" s="38"/>
      <c r="E85" s="17"/>
      <c r="F85" s="38"/>
      <c r="G85" s="16"/>
      <c r="H85" s="38"/>
      <c r="I85" s="274" t="str">
        <f t="shared" si="22"/>
        <v/>
      </c>
      <c r="J85" s="176"/>
      <c r="K85" s="195" t="str">
        <f t="shared" si="23"/>
        <v/>
      </c>
      <c r="L85" s="32" t="str">
        <f t="shared" si="24"/>
        <v/>
      </c>
      <c r="M85" s="32" t="str">
        <f t="shared" si="25"/>
        <v/>
      </c>
      <c r="N85" s="110" t="str">
        <f t="shared" si="26"/>
        <v/>
      </c>
      <c r="O85" s="32" t="str">
        <f t="shared" si="27"/>
        <v/>
      </c>
      <c r="P85" s="32" t="str">
        <f t="shared" si="28"/>
        <v/>
      </c>
      <c r="Q85" s="32" t="str">
        <f t="shared" si="29"/>
        <v/>
      </c>
      <c r="R85" s="603"/>
      <c r="S85" s="281" t="str">
        <f t="shared" si="20"/>
        <v/>
      </c>
      <c r="T85" s="7"/>
      <c r="U85" s="23" t="str" cm="1">
        <f t="array" ref="U85">IF(OR(S85="",I85=""),"",_xlfn.IFS(
ROUND(IFERROR(VALUE(TRIM(SUBSTITUTE(S85,CHAR(160),""))),0),2)&gt;
ROUND(IFERROR(VALUE(TRIM(SUBSTITUTE(I85,CHAR(160),""))),0),2),
"KO : Le montant retenu est supérieur au montant présenté. Merci de revoir la ligne de contribution ou plafonner son montant.",
ROUND(IFERROR(VALUE(TRIM(SUBSTITUTE(I85,CHAR(160),""))),0),2)=0,
"",
ROUND(IFERROR(VALUE(TRIM(SUBSTITUTE(S85,CHAR(160),""))),0),2)=
ROUND(IFERROR(VALUE(TRIM(SUBSTITUTE(I85,CHAR(160),""))),0),2),
"OK",
ROUND(IFERROR(VALUE(TRIM(SUBSTITUTE(S85,CHAR(160),""))),0),2)=0,
"Attention : Montant présenté entièrement rejeté.",
ROUND(IFERROR(VALUE(TRIM(SUBSTITUTE(S85,CHAR(160),""))),0),2)&lt;
ROUND(IFERROR(VALUE(TRIM(SUBSTITUTE(I85,CHAR(160),""))),0),2),
"Attention : Montant présenté partiellement rejeté.",
TRUE,""
))</f>
        <v/>
      </c>
      <c r="V85" s="32" t="str">
        <f t="shared" si="21"/>
        <v/>
      </c>
    </row>
    <row r="86" spans="1:22" ht="15" customHeight="1">
      <c r="A86" s="198">
        <v>82</v>
      </c>
      <c r="B86" s="37"/>
      <c r="C86" s="7"/>
      <c r="D86" s="38"/>
      <c r="E86" s="17"/>
      <c r="F86" s="38"/>
      <c r="G86" s="16"/>
      <c r="H86" s="38"/>
      <c r="I86" s="274" t="str">
        <f t="shared" si="22"/>
        <v/>
      </c>
      <c r="J86" s="176"/>
      <c r="K86" s="195" t="str">
        <f t="shared" si="23"/>
        <v/>
      </c>
      <c r="L86" s="32" t="str">
        <f t="shared" si="24"/>
        <v/>
      </c>
      <c r="M86" s="32" t="str">
        <f t="shared" si="25"/>
        <v/>
      </c>
      <c r="N86" s="110" t="str">
        <f t="shared" si="26"/>
        <v/>
      </c>
      <c r="O86" s="32" t="str">
        <f t="shared" si="27"/>
        <v/>
      </c>
      <c r="P86" s="32" t="str">
        <f t="shared" si="28"/>
        <v/>
      </c>
      <c r="Q86" s="32" t="str">
        <f t="shared" si="29"/>
        <v/>
      </c>
      <c r="R86" s="603"/>
      <c r="S86" s="281" t="str">
        <f t="shared" si="20"/>
        <v/>
      </c>
      <c r="T86" s="7"/>
      <c r="U86" s="23" t="str" cm="1">
        <f t="array" ref="U86">IF(OR(S86="",I86=""),"",_xlfn.IFS(
ROUND(IFERROR(VALUE(TRIM(SUBSTITUTE(S86,CHAR(160),""))),0),2)&gt;
ROUND(IFERROR(VALUE(TRIM(SUBSTITUTE(I86,CHAR(160),""))),0),2),
"KO : Le montant retenu est supérieur au montant présenté. Merci de revoir la ligne de contribution ou plafonner son montant.",
ROUND(IFERROR(VALUE(TRIM(SUBSTITUTE(I86,CHAR(160),""))),0),2)=0,
"",
ROUND(IFERROR(VALUE(TRIM(SUBSTITUTE(S86,CHAR(160),""))),0),2)=
ROUND(IFERROR(VALUE(TRIM(SUBSTITUTE(I86,CHAR(160),""))),0),2),
"OK",
ROUND(IFERROR(VALUE(TRIM(SUBSTITUTE(S86,CHAR(160),""))),0),2)=0,
"Attention : Montant présenté entièrement rejeté.",
ROUND(IFERROR(VALUE(TRIM(SUBSTITUTE(S86,CHAR(160),""))),0),2)&lt;
ROUND(IFERROR(VALUE(TRIM(SUBSTITUTE(I86,CHAR(160),""))),0),2),
"Attention : Montant présenté partiellement rejeté.",
TRUE,""
))</f>
        <v/>
      </c>
      <c r="V86" s="32" t="str">
        <f t="shared" si="21"/>
        <v/>
      </c>
    </row>
    <row r="87" spans="1:22" ht="15" customHeight="1">
      <c r="A87" s="198">
        <v>83</v>
      </c>
      <c r="B87" s="37"/>
      <c r="C87" s="7"/>
      <c r="D87" s="38"/>
      <c r="E87" s="17"/>
      <c r="F87" s="38"/>
      <c r="G87" s="16"/>
      <c r="H87" s="38"/>
      <c r="I87" s="274" t="str">
        <f t="shared" si="22"/>
        <v/>
      </c>
      <c r="J87" s="176"/>
      <c r="K87" s="195" t="str">
        <f t="shared" si="23"/>
        <v/>
      </c>
      <c r="L87" s="32" t="str">
        <f t="shared" si="24"/>
        <v/>
      </c>
      <c r="M87" s="32" t="str">
        <f t="shared" si="25"/>
        <v/>
      </c>
      <c r="N87" s="110" t="str">
        <f t="shared" si="26"/>
        <v/>
      </c>
      <c r="O87" s="32" t="str">
        <f t="shared" si="27"/>
        <v/>
      </c>
      <c r="P87" s="32" t="str">
        <f t="shared" si="28"/>
        <v/>
      </c>
      <c r="Q87" s="32" t="str">
        <f t="shared" si="29"/>
        <v/>
      </c>
      <c r="R87" s="603"/>
      <c r="S87" s="281" t="str">
        <f t="shared" si="20"/>
        <v/>
      </c>
      <c r="T87" s="7"/>
      <c r="U87" s="23" t="str" cm="1">
        <f t="array" ref="U87">IF(OR(S87="",I87=""),"",_xlfn.IFS(
ROUND(IFERROR(VALUE(TRIM(SUBSTITUTE(S87,CHAR(160),""))),0),2)&gt;
ROUND(IFERROR(VALUE(TRIM(SUBSTITUTE(I87,CHAR(160),""))),0),2),
"KO : Le montant retenu est supérieur au montant présenté. Merci de revoir la ligne de contribution ou plafonner son montant.",
ROUND(IFERROR(VALUE(TRIM(SUBSTITUTE(I87,CHAR(160),""))),0),2)=0,
"",
ROUND(IFERROR(VALUE(TRIM(SUBSTITUTE(S87,CHAR(160),""))),0),2)=
ROUND(IFERROR(VALUE(TRIM(SUBSTITUTE(I87,CHAR(160),""))),0),2),
"OK",
ROUND(IFERROR(VALUE(TRIM(SUBSTITUTE(S87,CHAR(160),""))),0),2)=0,
"Attention : Montant présenté entièrement rejeté.",
ROUND(IFERROR(VALUE(TRIM(SUBSTITUTE(S87,CHAR(160),""))),0),2)&lt;
ROUND(IFERROR(VALUE(TRIM(SUBSTITUTE(I87,CHAR(160),""))),0),2),
"Attention : Montant présenté partiellement rejeté.",
TRUE,""
))</f>
        <v/>
      </c>
      <c r="V87" s="32" t="str">
        <f t="shared" si="21"/>
        <v/>
      </c>
    </row>
    <row r="88" spans="1:22" ht="15" customHeight="1">
      <c r="A88" s="198">
        <v>84</v>
      </c>
      <c r="B88" s="37"/>
      <c r="C88" s="7"/>
      <c r="D88" s="38"/>
      <c r="E88" s="17"/>
      <c r="F88" s="38"/>
      <c r="G88" s="16"/>
      <c r="H88" s="38"/>
      <c r="I88" s="274" t="str">
        <f t="shared" si="22"/>
        <v/>
      </c>
      <c r="J88" s="176"/>
      <c r="K88" s="195" t="str">
        <f t="shared" si="23"/>
        <v/>
      </c>
      <c r="L88" s="32" t="str">
        <f t="shared" si="24"/>
        <v/>
      </c>
      <c r="M88" s="32" t="str">
        <f t="shared" si="25"/>
        <v/>
      </c>
      <c r="N88" s="110" t="str">
        <f t="shared" si="26"/>
        <v/>
      </c>
      <c r="O88" s="32" t="str">
        <f t="shared" si="27"/>
        <v/>
      </c>
      <c r="P88" s="32" t="str">
        <f t="shared" si="28"/>
        <v/>
      </c>
      <c r="Q88" s="32" t="str">
        <f t="shared" si="29"/>
        <v/>
      </c>
      <c r="R88" s="603"/>
      <c r="S88" s="281" t="str">
        <f t="shared" si="20"/>
        <v/>
      </c>
      <c r="T88" s="7"/>
      <c r="U88" s="23" t="str" cm="1">
        <f t="array" ref="U88">IF(OR(S88="",I88=""),"",_xlfn.IFS(
ROUND(IFERROR(VALUE(TRIM(SUBSTITUTE(S88,CHAR(160),""))),0),2)&gt;
ROUND(IFERROR(VALUE(TRIM(SUBSTITUTE(I88,CHAR(160),""))),0),2),
"KO : Le montant retenu est supérieur au montant présenté. Merci de revoir la ligne de contribution ou plafonner son montant.",
ROUND(IFERROR(VALUE(TRIM(SUBSTITUTE(I88,CHAR(160),""))),0),2)=0,
"",
ROUND(IFERROR(VALUE(TRIM(SUBSTITUTE(S88,CHAR(160),""))),0),2)=
ROUND(IFERROR(VALUE(TRIM(SUBSTITUTE(I88,CHAR(160),""))),0),2),
"OK",
ROUND(IFERROR(VALUE(TRIM(SUBSTITUTE(S88,CHAR(160),""))),0),2)=0,
"Attention : Montant présenté entièrement rejeté.",
ROUND(IFERROR(VALUE(TRIM(SUBSTITUTE(S88,CHAR(160),""))),0),2)&lt;
ROUND(IFERROR(VALUE(TRIM(SUBSTITUTE(I88,CHAR(160),""))),0),2),
"Attention : Montant présenté partiellement rejeté.",
TRUE,""
))</f>
        <v/>
      </c>
      <c r="V88" s="32" t="str">
        <f t="shared" si="21"/>
        <v/>
      </c>
    </row>
    <row r="89" spans="1:22" ht="15" customHeight="1">
      <c r="A89" s="198">
        <v>85</v>
      </c>
      <c r="B89" s="37"/>
      <c r="C89" s="7"/>
      <c r="D89" s="38"/>
      <c r="E89" s="17"/>
      <c r="F89" s="38"/>
      <c r="G89" s="16"/>
      <c r="H89" s="38"/>
      <c r="I89" s="274" t="str">
        <f t="shared" si="22"/>
        <v/>
      </c>
      <c r="J89" s="176"/>
      <c r="K89" s="195" t="str">
        <f t="shared" si="23"/>
        <v/>
      </c>
      <c r="L89" s="32" t="str">
        <f t="shared" si="24"/>
        <v/>
      </c>
      <c r="M89" s="32" t="str">
        <f t="shared" si="25"/>
        <v/>
      </c>
      <c r="N89" s="110" t="str">
        <f t="shared" si="26"/>
        <v/>
      </c>
      <c r="O89" s="32" t="str">
        <f t="shared" si="27"/>
        <v/>
      </c>
      <c r="P89" s="32" t="str">
        <f t="shared" si="28"/>
        <v/>
      </c>
      <c r="Q89" s="32" t="str">
        <f t="shared" si="29"/>
        <v/>
      </c>
      <c r="R89" s="603"/>
      <c r="S89" s="281" t="str">
        <f t="shared" si="20"/>
        <v/>
      </c>
      <c r="T89" s="7"/>
      <c r="U89" s="23" t="str" cm="1">
        <f t="array" ref="U89">IF(OR(S89="",I89=""),"",_xlfn.IFS(
ROUND(IFERROR(VALUE(TRIM(SUBSTITUTE(S89,CHAR(160),""))),0),2)&gt;
ROUND(IFERROR(VALUE(TRIM(SUBSTITUTE(I89,CHAR(160),""))),0),2),
"KO : Le montant retenu est supérieur au montant présenté. Merci de revoir la ligne de contribution ou plafonner son montant.",
ROUND(IFERROR(VALUE(TRIM(SUBSTITUTE(I89,CHAR(160),""))),0),2)=0,
"",
ROUND(IFERROR(VALUE(TRIM(SUBSTITUTE(S89,CHAR(160),""))),0),2)=
ROUND(IFERROR(VALUE(TRIM(SUBSTITUTE(I89,CHAR(160),""))),0),2),
"OK",
ROUND(IFERROR(VALUE(TRIM(SUBSTITUTE(S89,CHAR(160),""))),0),2)=0,
"Attention : Montant présenté entièrement rejeté.",
ROUND(IFERROR(VALUE(TRIM(SUBSTITUTE(S89,CHAR(160),""))),0),2)&lt;
ROUND(IFERROR(VALUE(TRIM(SUBSTITUTE(I89,CHAR(160),""))),0),2),
"Attention : Montant présenté partiellement rejeté.",
TRUE,""
))</f>
        <v/>
      </c>
      <c r="V89" s="32" t="str">
        <f t="shared" si="21"/>
        <v/>
      </c>
    </row>
    <row r="90" spans="1:22" ht="15" customHeight="1">
      <c r="A90" s="198">
        <v>86</v>
      </c>
      <c r="B90" s="37"/>
      <c r="C90" s="7"/>
      <c r="D90" s="38"/>
      <c r="E90" s="17"/>
      <c r="F90" s="38"/>
      <c r="G90" s="16"/>
      <c r="H90" s="38"/>
      <c r="I90" s="274" t="str">
        <f t="shared" si="22"/>
        <v/>
      </c>
      <c r="J90" s="176"/>
      <c r="K90" s="195" t="str">
        <f t="shared" si="23"/>
        <v/>
      </c>
      <c r="L90" s="32" t="str">
        <f t="shared" si="24"/>
        <v/>
      </c>
      <c r="M90" s="32" t="str">
        <f t="shared" si="25"/>
        <v/>
      </c>
      <c r="N90" s="110" t="str">
        <f t="shared" si="26"/>
        <v/>
      </c>
      <c r="O90" s="32" t="str">
        <f t="shared" si="27"/>
        <v/>
      </c>
      <c r="P90" s="32" t="str">
        <f t="shared" si="28"/>
        <v/>
      </c>
      <c r="Q90" s="32" t="str">
        <f t="shared" si="29"/>
        <v/>
      </c>
      <c r="R90" s="603"/>
      <c r="S90" s="281" t="str">
        <f t="shared" si="20"/>
        <v/>
      </c>
      <c r="T90" s="7"/>
      <c r="U90" s="23" t="str" cm="1">
        <f t="array" ref="U90">IF(OR(S90="",I90=""),"",_xlfn.IFS(
ROUND(IFERROR(VALUE(TRIM(SUBSTITUTE(S90,CHAR(160),""))),0),2)&gt;
ROUND(IFERROR(VALUE(TRIM(SUBSTITUTE(I90,CHAR(160),""))),0),2),
"KO : Le montant retenu est supérieur au montant présenté. Merci de revoir la ligne de contribution ou plafonner son montant.",
ROUND(IFERROR(VALUE(TRIM(SUBSTITUTE(I90,CHAR(160),""))),0),2)=0,
"",
ROUND(IFERROR(VALUE(TRIM(SUBSTITUTE(S90,CHAR(160),""))),0),2)=
ROUND(IFERROR(VALUE(TRIM(SUBSTITUTE(I90,CHAR(160),""))),0),2),
"OK",
ROUND(IFERROR(VALUE(TRIM(SUBSTITUTE(S90,CHAR(160),""))),0),2)=0,
"Attention : Montant présenté entièrement rejeté.",
ROUND(IFERROR(VALUE(TRIM(SUBSTITUTE(S90,CHAR(160),""))),0),2)&lt;
ROUND(IFERROR(VALUE(TRIM(SUBSTITUTE(I90,CHAR(160),""))),0),2),
"Attention : Montant présenté partiellement rejeté.",
TRUE,""
))</f>
        <v/>
      </c>
      <c r="V90" s="32" t="str">
        <f t="shared" si="21"/>
        <v/>
      </c>
    </row>
    <row r="91" spans="1:22" ht="15" customHeight="1">
      <c r="A91" s="198">
        <v>87</v>
      </c>
      <c r="B91" s="37"/>
      <c r="C91" s="7"/>
      <c r="D91" s="38"/>
      <c r="E91" s="17"/>
      <c r="F91" s="38"/>
      <c r="G91" s="16"/>
      <c r="H91" s="38"/>
      <c r="I91" s="274" t="str">
        <f t="shared" si="22"/>
        <v/>
      </c>
      <c r="J91" s="176"/>
      <c r="K91" s="195" t="str">
        <f t="shared" si="23"/>
        <v/>
      </c>
      <c r="L91" s="32" t="str">
        <f t="shared" si="24"/>
        <v/>
      </c>
      <c r="M91" s="32" t="str">
        <f t="shared" si="25"/>
        <v/>
      </c>
      <c r="N91" s="110" t="str">
        <f t="shared" si="26"/>
        <v/>
      </c>
      <c r="O91" s="32" t="str">
        <f t="shared" si="27"/>
        <v/>
      </c>
      <c r="P91" s="32" t="str">
        <f t="shared" si="28"/>
        <v/>
      </c>
      <c r="Q91" s="32" t="str">
        <f t="shared" si="29"/>
        <v/>
      </c>
      <c r="R91" s="603"/>
      <c r="S91" s="281" t="str">
        <f t="shared" si="20"/>
        <v/>
      </c>
      <c r="T91" s="7"/>
      <c r="U91" s="23" t="str" cm="1">
        <f t="array" ref="U91">IF(OR(S91="",I91=""),"",_xlfn.IFS(
ROUND(IFERROR(VALUE(TRIM(SUBSTITUTE(S91,CHAR(160),""))),0),2)&gt;
ROUND(IFERROR(VALUE(TRIM(SUBSTITUTE(I91,CHAR(160),""))),0),2),
"KO : Le montant retenu est supérieur au montant présenté. Merci de revoir la ligne de contribution ou plafonner son montant.",
ROUND(IFERROR(VALUE(TRIM(SUBSTITUTE(I91,CHAR(160),""))),0),2)=0,
"",
ROUND(IFERROR(VALUE(TRIM(SUBSTITUTE(S91,CHAR(160),""))),0),2)=
ROUND(IFERROR(VALUE(TRIM(SUBSTITUTE(I91,CHAR(160),""))),0),2),
"OK",
ROUND(IFERROR(VALUE(TRIM(SUBSTITUTE(S91,CHAR(160),""))),0),2)=0,
"Attention : Montant présenté entièrement rejeté.",
ROUND(IFERROR(VALUE(TRIM(SUBSTITUTE(S91,CHAR(160),""))),0),2)&lt;
ROUND(IFERROR(VALUE(TRIM(SUBSTITUTE(I91,CHAR(160),""))),0),2),
"Attention : Montant présenté partiellement rejeté.",
TRUE,""
))</f>
        <v/>
      </c>
      <c r="V91" s="32" t="str">
        <f t="shared" si="21"/>
        <v/>
      </c>
    </row>
    <row r="92" spans="1:22" ht="15" customHeight="1">
      <c r="A92" s="198">
        <v>88</v>
      </c>
      <c r="B92" s="37"/>
      <c r="C92" s="7"/>
      <c r="D92" s="38"/>
      <c r="E92" s="17"/>
      <c r="F92" s="38"/>
      <c r="G92" s="16"/>
      <c r="H92" s="38"/>
      <c r="I92" s="274" t="str">
        <f t="shared" si="22"/>
        <v/>
      </c>
      <c r="J92" s="176"/>
      <c r="K92" s="195" t="str">
        <f t="shared" si="23"/>
        <v/>
      </c>
      <c r="L92" s="32" t="str">
        <f t="shared" si="24"/>
        <v/>
      </c>
      <c r="M92" s="32" t="str">
        <f t="shared" si="25"/>
        <v/>
      </c>
      <c r="N92" s="110" t="str">
        <f t="shared" si="26"/>
        <v/>
      </c>
      <c r="O92" s="32" t="str">
        <f t="shared" si="27"/>
        <v/>
      </c>
      <c r="P92" s="32" t="str">
        <f t="shared" si="28"/>
        <v/>
      </c>
      <c r="Q92" s="32" t="str">
        <f t="shared" si="29"/>
        <v/>
      </c>
      <c r="R92" s="603"/>
      <c r="S92" s="281" t="str">
        <f t="shared" si="20"/>
        <v/>
      </c>
      <c r="T92" s="7"/>
      <c r="U92" s="23" t="str" cm="1">
        <f t="array" ref="U92">IF(OR(S92="",I92=""),"",_xlfn.IFS(
ROUND(IFERROR(VALUE(TRIM(SUBSTITUTE(S92,CHAR(160),""))),0),2)&gt;
ROUND(IFERROR(VALUE(TRIM(SUBSTITUTE(I92,CHAR(160),""))),0),2),
"KO : Le montant retenu est supérieur au montant présenté. Merci de revoir la ligne de contribution ou plafonner son montant.",
ROUND(IFERROR(VALUE(TRIM(SUBSTITUTE(I92,CHAR(160),""))),0),2)=0,
"",
ROUND(IFERROR(VALUE(TRIM(SUBSTITUTE(S92,CHAR(160),""))),0),2)=
ROUND(IFERROR(VALUE(TRIM(SUBSTITUTE(I92,CHAR(160),""))),0),2),
"OK",
ROUND(IFERROR(VALUE(TRIM(SUBSTITUTE(S92,CHAR(160),""))),0),2)=0,
"Attention : Montant présenté entièrement rejeté.",
ROUND(IFERROR(VALUE(TRIM(SUBSTITUTE(S92,CHAR(160),""))),0),2)&lt;
ROUND(IFERROR(VALUE(TRIM(SUBSTITUTE(I92,CHAR(160),""))),0),2),
"Attention : Montant présenté partiellement rejeté.",
TRUE,""
))</f>
        <v/>
      </c>
      <c r="V92" s="32" t="str">
        <f t="shared" si="21"/>
        <v/>
      </c>
    </row>
    <row r="93" spans="1:22" ht="15" customHeight="1">
      <c r="A93" s="198">
        <v>89</v>
      </c>
      <c r="B93" s="37"/>
      <c r="C93" s="7"/>
      <c r="D93" s="38"/>
      <c r="E93" s="17"/>
      <c r="F93" s="38"/>
      <c r="G93" s="16"/>
      <c r="H93" s="38"/>
      <c r="I93" s="274" t="str">
        <f t="shared" si="22"/>
        <v/>
      </c>
      <c r="J93" s="176"/>
      <c r="K93" s="195" t="str">
        <f t="shared" si="23"/>
        <v/>
      </c>
      <c r="L93" s="32" t="str">
        <f t="shared" si="24"/>
        <v/>
      </c>
      <c r="M93" s="32" t="str">
        <f t="shared" si="25"/>
        <v/>
      </c>
      <c r="N93" s="110" t="str">
        <f t="shared" si="26"/>
        <v/>
      </c>
      <c r="O93" s="32" t="str">
        <f t="shared" si="27"/>
        <v/>
      </c>
      <c r="P93" s="32" t="str">
        <f t="shared" si="28"/>
        <v/>
      </c>
      <c r="Q93" s="32" t="str">
        <f t="shared" si="29"/>
        <v/>
      </c>
      <c r="R93" s="603"/>
      <c r="S93" s="281" t="str">
        <f t="shared" si="20"/>
        <v/>
      </c>
      <c r="T93" s="7"/>
      <c r="U93" s="23" t="str" cm="1">
        <f t="array" ref="U93">IF(OR(S93="",I93=""),"",_xlfn.IFS(
ROUND(IFERROR(VALUE(TRIM(SUBSTITUTE(S93,CHAR(160),""))),0),2)&gt;
ROUND(IFERROR(VALUE(TRIM(SUBSTITUTE(I93,CHAR(160),""))),0),2),
"KO : Le montant retenu est supérieur au montant présenté. Merci de revoir la ligne de contribution ou plafonner son montant.",
ROUND(IFERROR(VALUE(TRIM(SUBSTITUTE(I93,CHAR(160),""))),0),2)=0,
"",
ROUND(IFERROR(VALUE(TRIM(SUBSTITUTE(S93,CHAR(160),""))),0),2)=
ROUND(IFERROR(VALUE(TRIM(SUBSTITUTE(I93,CHAR(160),""))),0),2),
"OK",
ROUND(IFERROR(VALUE(TRIM(SUBSTITUTE(S93,CHAR(160),""))),0),2)=0,
"Attention : Montant présenté entièrement rejeté.",
ROUND(IFERROR(VALUE(TRIM(SUBSTITUTE(S93,CHAR(160),""))),0),2)&lt;
ROUND(IFERROR(VALUE(TRIM(SUBSTITUTE(I93,CHAR(160),""))),0),2),
"Attention : Montant présenté partiellement rejeté.",
TRUE,""
))</f>
        <v/>
      </c>
      <c r="V93" s="32" t="str">
        <f t="shared" si="21"/>
        <v/>
      </c>
    </row>
    <row r="94" spans="1:22" ht="15" customHeight="1">
      <c r="A94" s="198">
        <v>90</v>
      </c>
      <c r="B94" s="37"/>
      <c r="C94" s="7"/>
      <c r="D94" s="38"/>
      <c r="E94" s="17"/>
      <c r="F94" s="38"/>
      <c r="G94" s="16"/>
      <c r="H94" s="38"/>
      <c r="I94" s="274" t="str">
        <f t="shared" si="22"/>
        <v/>
      </c>
      <c r="J94" s="176"/>
      <c r="K94" s="195" t="str">
        <f t="shared" si="23"/>
        <v/>
      </c>
      <c r="L94" s="32" t="str">
        <f t="shared" si="24"/>
        <v/>
      </c>
      <c r="M94" s="32" t="str">
        <f t="shared" si="25"/>
        <v/>
      </c>
      <c r="N94" s="110" t="str">
        <f t="shared" si="26"/>
        <v/>
      </c>
      <c r="O94" s="32" t="str">
        <f t="shared" si="27"/>
        <v/>
      </c>
      <c r="P94" s="32" t="str">
        <f t="shared" si="28"/>
        <v/>
      </c>
      <c r="Q94" s="32" t="str">
        <f t="shared" si="29"/>
        <v/>
      </c>
      <c r="R94" s="603"/>
      <c r="S94" s="281" t="str">
        <f t="shared" si="20"/>
        <v/>
      </c>
      <c r="T94" s="7"/>
      <c r="U94" s="23" t="str" cm="1">
        <f t="array" ref="U94">IF(OR(S94="",I94=""),"",_xlfn.IFS(
ROUND(IFERROR(VALUE(TRIM(SUBSTITUTE(S94,CHAR(160),""))),0),2)&gt;
ROUND(IFERROR(VALUE(TRIM(SUBSTITUTE(I94,CHAR(160),""))),0),2),
"KO : Le montant retenu est supérieur au montant présenté. Merci de revoir la ligne de contribution ou plafonner son montant.",
ROUND(IFERROR(VALUE(TRIM(SUBSTITUTE(I94,CHAR(160),""))),0),2)=0,
"",
ROUND(IFERROR(VALUE(TRIM(SUBSTITUTE(S94,CHAR(160),""))),0),2)=
ROUND(IFERROR(VALUE(TRIM(SUBSTITUTE(I94,CHAR(160),""))),0),2),
"OK",
ROUND(IFERROR(VALUE(TRIM(SUBSTITUTE(S94,CHAR(160),""))),0),2)=0,
"Attention : Montant présenté entièrement rejeté.",
ROUND(IFERROR(VALUE(TRIM(SUBSTITUTE(S94,CHAR(160),""))),0),2)&lt;
ROUND(IFERROR(VALUE(TRIM(SUBSTITUTE(I94,CHAR(160),""))),0),2),
"Attention : Montant présenté partiellement rejeté.",
TRUE,""
))</f>
        <v/>
      </c>
      <c r="V94" s="32" t="str">
        <f t="shared" si="21"/>
        <v/>
      </c>
    </row>
    <row r="95" spans="1:22" ht="15" customHeight="1">
      <c r="A95" s="198">
        <v>91</v>
      </c>
      <c r="B95" s="37"/>
      <c r="C95" s="7"/>
      <c r="D95" s="38"/>
      <c r="E95" s="17"/>
      <c r="F95" s="38"/>
      <c r="G95" s="16"/>
      <c r="H95" s="38"/>
      <c r="I95" s="274" t="str">
        <f t="shared" si="22"/>
        <v/>
      </c>
      <c r="J95" s="176"/>
      <c r="K95" s="195" t="str">
        <f t="shared" si="23"/>
        <v/>
      </c>
      <c r="L95" s="32" t="str">
        <f t="shared" si="24"/>
        <v/>
      </c>
      <c r="M95" s="32" t="str">
        <f t="shared" si="25"/>
        <v/>
      </c>
      <c r="N95" s="110" t="str">
        <f t="shared" si="26"/>
        <v/>
      </c>
      <c r="O95" s="32" t="str">
        <f t="shared" si="27"/>
        <v/>
      </c>
      <c r="P95" s="32" t="str">
        <f t="shared" si="28"/>
        <v/>
      </c>
      <c r="Q95" s="32" t="str">
        <f t="shared" si="29"/>
        <v/>
      </c>
      <c r="R95" s="603"/>
      <c r="S95" s="281" t="str">
        <f t="shared" si="20"/>
        <v/>
      </c>
      <c r="T95" s="7"/>
      <c r="U95" s="23" t="str" cm="1">
        <f t="array" ref="U95">IF(OR(S95="",I95=""),"",_xlfn.IFS(
ROUND(IFERROR(VALUE(TRIM(SUBSTITUTE(S95,CHAR(160),""))),0),2)&gt;
ROUND(IFERROR(VALUE(TRIM(SUBSTITUTE(I95,CHAR(160),""))),0),2),
"KO : Le montant retenu est supérieur au montant présenté. Merci de revoir la ligne de contribution ou plafonner son montant.",
ROUND(IFERROR(VALUE(TRIM(SUBSTITUTE(I95,CHAR(160),""))),0),2)=0,
"",
ROUND(IFERROR(VALUE(TRIM(SUBSTITUTE(S95,CHAR(160),""))),0),2)=
ROUND(IFERROR(VALUE(TRIM(SUBSTITUTE(I95,CHAR(160),""))),0),2),
"OK",
ROUND(IFERROR(VALUE(TRIM(SUBSTITUTE(S95,CHAR(160),""))),0),2)=0,
"Attention : Montant présenté entièrement rejeté.",
ROUND(IFERROR(VALUE(TRIM(SUBSTITUTE(S95,CHAR(160),""))),0),2)&lt;
ROUND(IFERROR(VALUE(TRIM(SUBSTITUTE(I95,CHAR(160),""))),0),2),
"Attention : Montant présenté partiellement rejeté.",
TRUE,""
))</f>
        <v/>
      </c>
      <c r="V95" s="32" t="str">
        <f t="shared" si="21"/>
        <v/>
      </c>
    </row>
    <row r="96" spans="1:22" ht="15" customHeight="1">
      <c r="A96" s="198">
        <v>92</v>
      </c>
      <c r="B96" s="37"/>
      <c r="C96" s="7"/>
      <c r="D96" s="38"/>
      <c r="E96" s="17"/>
      <c r="F96" s="38"/>
      <c r="G96" s="16"/>
      <c r="H96" s="38"/>
      <c r="I96" s="274" t="str">
        <f t="shared" si="22"/>
        <v/>
      </c>
      <c r="J96" s="176"/>
      <c r="K96" s="195" t="str">
        <f t="shared" si="23"/>
        <v/>
      </c>
      <c r="L96" s="32" t="str">
        <f t="shared" si="24"/>
        <v/>
      </c>
      <c r="M96" s="32" t="str">
        <f t="shared" si="25"/>
        <v/>
      </c>
      <c r="N96" s="110" t="str">
        <f t="shared" si="26"/>
        <v/>
      </c>
      <c r="O96" s="32" t="str">
        <f t="shared" si="27"/>
        <v/>
      </c>
      <c r="P96" s="32" t="str">
        <f t="shared" si="28"/>
        <v/>
      </c>
      <c r="Q96" s="32" t="str">
        <f t="shared" si="29"/>
        <v/>
      </c>
      <c r="R96" s="603"/>
      <c r="S96" s="281" t="str">
        <f t="shared" si="20"/>
        <v/>
      </c>
      <c r="T96" s="7"/>
      <c r="U96" s="23" t="str" cm="1">
        <f t="array" ref="U96">IF(OR(S96="",I96=""),"",_xlfn.IFS(
ROUND(IFERROR(VALUE(TRIM(SUBSTITUTE(S96,CHAR(160),""))),0),2)&gt;
ROUND(IFERROR(VALUE(TRIM(SUBSTITUTE(I96,CHAR(160),""))),0),2),
"KO : Le montant retenu est supérieur au montant présenté. Merci de revoir la ligne de contribution ou plafonner son montant.",
ROUND(IFERROR(VALUE(TRIM(SUBSTITUTE(I96,CHAR(160),""))),0),2)=0,
"",
ROUND(IFERROR(VALUE(TRIM(SUBSTITUTE(S96,CHAR(160),""))),0),2)=
ROUND(IFERROR(VALUE(TRIM(SUBSTITUTE(I96,CHAR(160),""))),0),2),
"OK",
ROUND(IFERROR(VALUE(TRIM(SUBSTITUTE(S96,CHAR(160),""))),0),2)=0,
"Attention : Montant présenté entièrement rejeté.",
ROUND(IFERROR(VALUE(TRIM(SUBSTITUTE(S96,CHAR(160),""))),0),2)&lt;
ROUND(IFERROR(VALUE(TRIM(SUBSTITUTE(I96,CHAR(160),""))),0),2),
"Attention : Montant présenté partiellement rejeté.",
TRUE,""
))</f>
        <v/>
      </c>
      <c r="V96" s="32" t="str">
        <f t="shared" si="21"/>
        <v/>
      </c>
    </row>
    <row r="97" spans="1:23" ht="15" customHeight="1">
      <c r="A97" s="198">
        <v>93</v>
      </c>
      <c r="B97" s="37"/>
      <c r="C97" s="7"/>
      <c r="D97" s="38"/>
      <c r="E97" s="17"/>
      <c r="F97" s="38"/>
      <c r="G97" s="16"/>
      <c r="H97" s="38"/>
      <c r="I97" s="274" t="str">
        <f t="shared" si="22"/>
        <v/>
      </c>
      <c r="J97" s="176"/>
      <c r="K97" s="195" t="str">
        <f t="shared" si="23"/>
        <v/>
      </c>
      <c r="L97" s="32" t="str">
        <f t="shared" si="24"/>
        <v/>
      </c>
      <c r="M97" s="32" t="str">
        <f t="shared" si="25"/>
        <v/>
      </c>
      <c r="N97" s="110" t="str">
        <f t="shared" si="26"/>
        <v/>
      </c>
      <c r="O97" s="32" t="str">
        <f t="shared" si="27"/>
        <v/>
      </c>
      <c r="P97" s="32" t="str">
        <f t="shared" si="28"/>
        <v/>
      </c>
      <c r="Q97" s="32" t="str">
        <f t="shared" si="29"/>
        <v/>
      </c>
      <c r="R97" s="603"/>
      <c r="S97" s="281" t="str">
        <f t="shared" si="20"/>
        <v/>
      </c>
      <c r="T97" s="7"/>
      <c r="U97" s="23" t="str" cm="1">
        <f t="array" ref="U97">IF(OR(S97="",I97=""),"",_xlfn.IFS(
ROUND(IFERROR(VALUE(TRIM(SUBSTITUTE(S97,CHAR(160),""))),0),2)&gt;
ROUND(IFERROR(VALUE(TRIM(SUBSTITUTE(I97,CHAR(160),""))),0),2),
"KO : Le montant retenu est supérieur au montant présenté. Merci de revoir la ligne de contribution ou plafonner son montant.",
ROUND(IFERROR(VALUE(TRIM(SUBSTITUTE(I97,CHAR(160),""))),0),2)=0,
"",
ROUND(IFERROR(VALUE(TRIM(SUBSTITUTE(S97,CHAR(160),""))),0),2)=
ROUND(IFERROR(VALUE(TRIM(SUBSTITUTE(I97,CHAR(160),""))),0),2),
"OK",
ROUND(IFERROR(VALUE(TRIM(SUBSTITUTE(S97,CHAR(160),""))),0),2)=0,
"Attention : Montant présenté entièrement rejeté.",
ROUND(IFERROR(VALUE(TRIM(SUBSTITUTE(S97,CHAR(160),""))),0),2)&lt;
ROUND(IFERROR(VALUE(TRIM(SUBSTITUTE(I97,CHAR(160),""))),0),2),
"Attention : Montant présenté partiellement rejeté.",
TRUE,""
))</f>
        <v/>
      </c>
      <c r="V97" s="32" t="str">
        <f t="shared" si="21"/>
        <v/>
      </c>
    </row>
    <row r="98" spans="1:23" ht="15" customHeight="1">
      <c r="A98" s="198">
        <v>94</v>
      </c>
      <c r="B98" s="37"/>
      <c r="C98" s="7"/>
      <c r="D98" s="38"/>
      <c r="E98" s="17"/>
      <c r="F98" s="38"/>
      <c r="G98" s="16"/>
      <c r="H98" s="38"/>
      <c r="I98" s="274" t="str">
        <f t="shared" si="22"/>
        <v/>
      </c>
      <c r="J98" s="176"/>
      <c r="K98" s="195" t="str">
        <f t="shared" si="23"/>
        <v/>
      </c>
      <c r="L98" s="32" t="str">
        <f t="shared" si="24"/>
        <v/>
      </c>
      <c r="M98" s="32" t="str">
        <f t="shared" si="25"/>
        <v/>
      </c>
      <c r="N98" s="110" t="str">
        <f t="shared" si="26"/>
        <v/>
      </c>
      <c r="O98" s="32" t="str">
        <f t="shared" si="27"/>
        <v/>
      </c>
      <c r="P98" s="32" t="str">
        <f t="shared" si="28"/>
        <v/>
      </c>
      <c r="Q98" s="32" t="str">
        <f t="shared" si="29"/>
        <v/>
      </c>
      <c r="R98" s="603"/>
      <c r="S98" s="281" t="str">
        <f t="shared" si="20"/>
        <v/>
      </c>
      <c r="T98" s="7"/>
      <c r="U98" s="23" t="str" cm="1">
        <f t="array" ref="U98">IF(OR(S98="",I98=""),"",_xlfn.IFS(
ROUND(IFERROR(VALUE(TRIM(SUBSTITUTE(S98,CHAR(160),""))),0),2)&gt;
ROUND(IFERROR(VALUE(TRIM(SUBSTITUTE(I98,CHAR(160),""))),0),2),
"KO : Le montant retenu est supérieur au montant présenté. Merci de revoir la ligne de contribution ou plafonner son montant.",
ROUND(IFERROR(VALUE(TRIM(SUBSTITUTE(I98,CHAR(160),""))),0),2)=0,
"",
ROUND(IFERROR(VALUE(TRIM(SUBSTITUTE(S98,CHAR(160),""))),0),2)=
ROUND(IFERROR(VALUE(TRIM(SUBSTITUTE(I98,CHAR(160),""))),0),2),
"OK",
ROUND(IFERROR(VALUE(TRIM(SUBSTITUTE(S98,CHAR(160),""))),0),2)=0,
"Attention : Montant présenté entièrement rejeté.",
ROUND(IFERROR(VALUE(TRIM(SUBSTITUTE(S98,CHAR(160),""))),0),2)&lt;
ROUND(IFERROR(VALUE(TRIM(SUBSTITUTE(I98,CHAR(160),""))),0),2),
"Attention : Montant présenté partiellement rejeté.",
TRUE,""
))</f>
        <v/>
      </c>
      <c r="V98" s="32" t="str">
        <f t="shared" si="21"/>
        <v/>
      </c>
    </row>
    <row r="99" spans="1:23" ht="15" customHeight="1">
      <c r="A99" s="198">
        <v>95</v>
      </c>
      <c r="B99" s="37"/>
      <c r="C99" s="7"/>
      <c r="D99" s="38"/>
      <c r="E99" s="17"/>
      <c r="F99" s="38"/>
      <c r="G99" s="16"/>
      <c r="H99" s="38"/>
      <c r="I99" s="274" t="str">
        <f t="shared" si="22"/>
        <v/>
      </c>
      <c r="J99" s="176"/>
      <c r="K99" s="195" t="str">
        <f t="shared" si="23"/>
        <v/>
      </c>
      <c r="L99" s="32" t="str">
        <f t="shared" si="24"/>
        <v/>
      </c>
      <c r="M99" s="32" t="str">
        <f t="shared" si="25"/>
        <v/>
      </c>
      <c r="N99" s="110" t="str">
        <f t="shared" si="26"/>
        <v/>
      </c>
      <c r="O99" s="32" t="str">
        <f t="shared" si="27"/>
        <v/>
      </c>
      <c r="P99" s="32" t="str">
        <f t="shared" si="28"/>
        <v/>
      </c>
      <c r="Q99" s="32" t="str">
        <f t="shared" si="29"/>
        <v/>
      </c>
      <c r="R99" s="603"/>
      <c r="S99" s="281" t="str">
        <f t="shared" si="20"/>
        <v/>
      </c>
      <c r="T99" s="7"/>
      <c r="U99" s="23" t="str" cm="1">
        <f t="array" ref="U99">IF(OR(S99="",I99=""),"",_xlfn.IFS(
ROUND(IFERROR(VALUE(TRIM(SUBSTITUTE(S99,CHAR(160),""))),0),2)&gt;
ROUND(IFERROR(VALUE(TRIM(SUBSTITUTE(I99,CHAR(160),""))),0),2),
"KO : Le montant retenu est supérieur au montant présenté. Merci de revoir la ligne de contribution ou plafonner son montant.",
ROUND(IFERROR(VALUE(TRIM(SUBSTITUTE(I99,CHAR(160),""))),0),2)=0,
"",
ROUND(IFERROR(VALUE(TRIM(SUBSTITUTE(S99,CHAR(160),""))),0),2)=
ROUND(IFERROR(VALUE(TRIM(SUBSTITUTE(I99,CHAR(160),""))),0),2),
"OK",
ROUND(IFERROR(VALUE(TRIM(SUBSTITUTE(S99,CHAR(160),""))),0),2)=0,
"Attention : Montant présenté entièrement rejeté.",
ROUND(IFERROR(VALUE(TRIM(SUBSTITUTE(S99,CHAR(160),""))),0),2)&lt;
ROUND(IFERROR(VALUE(TRIM(SUBSTITUTE(I99,CHAR(160),""))),0),2),
"Attention : Montant présenté partiellement rejeté.",
TRUE,""
))</f>
        <v/>
      </c>
      <c r="V99" s="32" t="str">
        <f t="shared" si="21"/>
        <v/>
      </c>
    </row>
    <row r="100" spans="1:23" ht="15" customHeight="1">
      <c r="A100" s="198">
        <v>96</v>
      </c>
      <c r="B100" s="37"/>
      <c r="C100" s="7"/>
      <c r="D100" s="38"/>
      <c r="E100" s="17"/>
      <c r="F100" s="38"/>
      <c r="G100" s="16"/>
      <c r="H100" s="38"/>
      <c r="I100" s="274" t="str">
        <f t="shared" si="22"/>
        <v/>
      </c>
      <c r="J100" s="176"/>
      <c r="K100" s="195" t="str">
        <f t="shared" si="23"/>
        <v/>
      </c>
      <c r="L100" s="32" t="str">
        <f t="shared" si="24"/>
        <v/>
      </c>
      <c r="M100" s="32" t="str">
        <f t="shared" si="25"/>
        <v/>
      </c>
      <c r="N100" s="110" t="str">
        <f t="shared" si="26"/>
        <v/>
      </c>
      <c r="O100" s="32" t="str">
        <f t="shared" si="27"/>
        <v/>
      </c>
      <c r="P100" s="32" t="str">
        <f t="shared" si="28"/>
        <v/>
      </c>
      <c r="Q100" s="32" t="str">
        <f t="shared" si="29"/>
        <v/>
      </c>
      <c r="R100" s="603"/>
      <c r="S100" s="281" t="str">
        <f t="shared" si="20"/>
        <v/>
      </c>
      <c r="T100" s="7"/>
      <c r="U100" s="23" t="str" cm="1">
        <f t="array" ref="U100">IF(OR(S100="",I100=""),"",_xlfn.IFS(
ROUND(IFERROR(VALUE(TRIM(SUBSTITUTE(S100,CHAR(160),""))),0),2)&gt;
ROUND(IFERROR(VALUE(TRIM(SUBSTITUTE(I100,CHAR(160),""))),0),2),
"KO : Le montant retenu est supérieur au montant présenté. Merci de revoir la ligne de contribution ou plafonner son montant.",
ROUND(IFERROR(VALUE(TRIM(SUBSTITUTE(I100,CHAR(160),""))),0),2)=0,
"",
ROUND(IFERROR(VALUE(TRIM(SUBSTITUTE(S100,CHAR(160),""))),0),2)=
ROUND(IFERROR(VALUE(TRIM(SUBSTITUTE(I100,CHAR(160),""))),0),2),
"OK",
ROUND(IFERROR(VALUE(TRIM(SUBSTITUTE(S100,CHAR(160),""))),0),2)=0,
"Attention : Montant présenté entièrement rejeté.",
ROUND(IFERROR(VALUE(TRIM(SUBSTITUTE(S100,CHAR(160),""))),0),2)&lt;
ROUND(IFERROR(VALUE(TRIM(SUBSTITUTE(I100,CHAR(160),""))),0),2),
"Attention : Montant présenté partiellement rejeté.",
TRUE,""
))</f>
        <v/>
      </c>
      <c r="V100" s="32" t="str">
        <f t="shared" si="21"/>
        <v/>
      </c>
    </row>
    <row r="101" spans="1:23" ht="15" customHeight="1">
      <c r="A101" s="198">
        <v>97</v>
      </c>
      <c r="B101" s="37"/>
      <c r="C101" s="7"/>
      <c r="D101" s="38"/>
      <c r="E101" s="17"/>
      <c r="F101" s="38"/>
      <c r="G101" s="16"/>
      <c r="H101" s="38"/>
      <c r="I101" s="274" t="str">
        <f t="shared" si="22"/>
        <v/>
      </c>
      <c r="J101" s="176"/>
      <c r="K101" s="195" t="str">
        <f t="shared" si="23"/>
        <v/>
      </c>
      <c r="L101" s="32" t="str">
        <f t="shared" si="24"/>
        <v/>
      </c>
      <c r="M101" s="32" t="str">
        <f t="shared" si="25"/>
        <v/>
      </c>
      <c r="N101" s="110" t="str">
        <f t="shared" si="26"/>
        <v/>
      </c>
      <c r="O101" s="32" t="str">
        <f t="shared" si="27"/>
        <v/>
      </c>
      <c r="P101" s="32" t="str">
        <f t="shared" si="28"/>
        <v/>
      </c>
      <c r="Q101" s="32" t="str">
        <f t="shared" si="29"/>
        <v/>
      </c>
      <c r="R101" s="603"/>
      <c r="S101" s="281" t="str">
        <f t="shared" si="20"/>
        <v/>
      </c>
      <c r="T101" s="7"/>
      <c r="U101" s="23" t="str" cm="1">
        <f t="array" ref="U101">IF(OR(S101="",I101=""),"",_xlfn.IFS(
ROUND(IFERROR(VALUE(TRIM(SUBSTITUTE(S101,CHAR(160),""))),0),2)&gt;
ROUND(IFERROR(VALUE(TRIM(SUBSTITUTE(I101,CHAR(160),""))),0),2),
"KO : Le montant retenu est supérieur au montant présenté. Merci de revoir la ligne de contribution ou plafonner son montant.",
ROUND(IFERROR(VALUE(TRIM(SUBSTITUTE(I101,CHAR(160),""))),0),2)=0,
"",
ROUND(IFERROR(VALUE(TRIM(SUBSTITUTE(S101,CHAR(160),""))),0),2)=
ROUND(IFERROR(VALUE(TRIM(SUBSTITUTE(I101,CHAR(160),""))),0),2),
"OK",
ROUND(IFERROR(VALUE(TRIM(SUBSTITUTE(S101,CHAR(160),""))),0),2)=0,
"Attention : Montant présenté entièrement rejeté.",
ROUND(IFERROR(VALUE(TRIM(SUBSTITUTE(S101,CHAR(160),""))),0),2)&lt;
ROUND(IFERROR(VALUE(TRIM(SUBSTITUTE(I101,CHAR(160),""))),0),2),
"Attention : Montant présenté partiellement rejeté.",
TRUE,""
))</f>
        <v/>
      </c>
      <c r="V101" s="32" t="str">
        <f t="shared" si="21"/>
        <v/>
      </c>
    </row>
    <row r="102" spans="1:23" ht="15" customHeight="1">
      <c r="A102" s="198">
        <v>98</v>
      </c>
      <c r="B102" s="37"/>
      <c r="C102" s="7"/>
      <c r="D102" s="38"/>
      <c r="E102" s="17"/>
      <c r="F102" s="38"/>
      <c r="G102" s="16"/>
      <c r="H102" s="38"/>
      <c r="I102" s="274" t="str">
        <f t="shared" si="22"/>
        <v/>
      </c>
      <c r="J102" s="176"/>
      <c r="K102" s="195" t="str">
        <f t="shared" si="23"/>
        <v/>
      </c>
      <c r="L102" s="32" t="str">
        <f t="shared" si="24"/>
        <v/>
      </c>
      <c r="M102" s="32" t="str">
        <f t="shared" si="25"/>
        <v/>
      </c>
      <c r="N102" s="110" t="str">
        <f t="shared" si="26"/>
        <v/>
      </c>
      <c r="O102" s="32" t="str">
        <f t="shared" si="27"/>
        <v/>
      </c>
      <c r="P102" s="32" t="str">
        <f t="shared" si="28"/>
        <v/>
      </c>
      <c r="Q102" s="32" t="str">
        <f t="shared" si="29"/>
        <v/>
      </c>
      <c r="R102" s="603"/>
      <c r="S102" s="281" t="str">
        <f t="shared" si="20"/>
        <v/>
      </c>
      <c r="T102" s="7"/>
      <c r="U102" s="23" t="str" cm="1">
        <f t="array" ref="U102">IF(OR(S102="",I102=""),"",_xlfn.IFS(
ROUND(IFERROR(VALUE(TRIM(SUBSTITUTE(S102,CHAR(160),""))),0),2)&gt;
ROUND(IFERROR(VALUE(TRIM(SUBSTITUTE(I102,CHAR(160),""))),0),2),
"KO : Le montant retenu est supérieur au montant présenté. Merci de revoir la ligne de contribution ou plafonner son montant.",
ROUND(IFERROR(VALUE(TRIM(SUBSTITUTE(I102,CHAR(160),""))),0),2)=0,
"",
ROUND(IFERROR(VALUE(TRIM(SUBSTITUTE(S102,CHAR(160),""))),0),2)=
ROUND(IFERROR(VALUE(TRIM(SUBSTITUTE(I102,CHAR(160),""))),0),2),
"OK",
ROUND(IFERROR(VALUE(TRIM(SUBSTITUTE(S102,CHAR(160),""))),0),2)=0,
"Attention : Montant présenté entièrement rejeté.",
ROUND(IFERROR(VALUE(TRIM(SUBSTITUTE(S102,CHAR(160),""))),0),2)&lt;
ROUND(IFERROR(VALUE(TRIM(SUBSTITUTE(I102,CHAR(160),""))),0),2),
"Attention : Montant présenté partiellement rejeté.",
TRUE,""
))</f>
        <v/>
      </c>
      <c r="V102" s="32" t="str">
        <f t="shared" si="21"/>
        <v/>
      </c>
    </row>
    <row r="103" spans="1:23" ht="15" customHeight="1">
      <c r="A103" s="198">
        <v>99</v>
      </c>
      <c r="B103" s="37"/>
      <c r="C103" s="7"/>
      <c r="D103" s="38"/>
      <c r="E103" s="17"/>
      <c r="F103" s="38"/>
      <c r="G103" s="16"/>
      <c r="H103" s="38"/>
      <c r="I103" s="274" t="str">
        <f t="shared" si="22"/>
        <v/>
      </c>
      <c r="J103" s="176"/>
      <c r="K103" s="195" t="str">
        <f t="shared" si="23"/>
        <v/>
      </c>
      <c r="L103" s="32" t="str">
        <f t="shared" si="24"/>
        <v/>
      </c>
      <c r="M103" s="32" t="str">
        <f t="shared" si="25"/>
        <v/>
      </c>
      <c r="N103" s="110" t="str">
        <f t="shared" si="26"/>
        <v/>
      </c>
      <c r="O103" s="32" t="str">
        <f t="shared" si="27"/>
        <v/>
      </c>
      <c r="P103" s="32" t="str">
        <f t="shared" si="28"/>
        <v/>
      </c>
      <c r="Q103" s="32" t="str">
        <f t="shared" si="29"/>
        <v/>
      </c>
      <c r="R103" s="603"/>
      <c r="S103" s="281" t="str">
        <f t="shared" si="20"/>
        <v/>
      </c>
      <c r="T103" s="7"/>
      <c r="U103" s="23" t="str" cm="1">
        <f t="array" ref="U103">IF(OR(S103="",I103=""),"",_xlfn.IFS(
ROUND(IFERROR(VALUE(TRIM(SUBSTITUTE(S103,CHAR(160),""))),0),2)&gt;
ROUND(IFERROR(VALUE(TRIM(SUBSTITUTE(I103,CHAR(160),""))),0),2),
"KO : Le montant retenu est supérieur au montant présenté. Merci de revoir la ligne de contribution ou plafonner son montant.",
ROUND(IFERROR(VALUE(TRIM(SUBSTITUTE(I103,CHAR(160),""))),0),2)=0,
"",
ROUND(IFERROR(VALUE(TRIM(SUBSTITUTE(S103,CHAR(160),""))),0),2)=
ROUND(IFERROR(VALUE(TRIM(SUBSTITUTE(I103,CHAR(160),""))),0),2),
"OK",
ROUND(IFERROR(VALUE(TRIM(SUBSTITUTE(S103,CHAR(160),""))),0),2)=0,
"Attention : Montant présenté entièrement rejeté.",
ROUND(IFERROR(VALUE(TRIM(SUBSTITUTE(S103,CHAR(160),""))),0),2)&lt;
ROUND(IFERROR(VALUE(TRIM(SUBSTITUTE(I103,CHAR(160),""))),0),2),
"Attention : Montant présenté partiellement rejeté.",
TRUE,""
))</f>
        <v/>
      </c>
      <c r="V103" s="32" t="str">
        <f t="shared" si="21"/>
        <v/>
      </c>
    </row>
    <row r="104" spans="1:23" ht="15" customHeight="1">
      <c r="A104" s="198">
        <v>100</v>
      </c>
      <c r="B104" s="37"/>
      <c r="C104" s="7"/>
      <c r="D104" s="38"/>
      <c r="E104" s="17"/>
      <c r="F104" s="38"/>
      <c r="G104" s="16"/>
      <c r="H104" s="38"/>
      <c r="I104" s="274" t="str">
        <f t="shared" si="22"/>
        <v/>
      </c>
      <c r="J104" s="176"/>
      <c r="K104" s="195" t="str">
        <f t="shared" si="23"/>
        <v/>
      </c>
      <c r="L104" s="32" t="str">
        <f t="shared" si="24"/>
        <v/>
      </c>
      <c r="M104" s="32" t="str">
        <f t="shared" si="25"/>
        <v/>
      </c>
      <c r="N104" s="110" t="str">
        <f t="shared" si="26"/>
        <v/>
      </c>
      <c r="O104" s="32" t="str">
        <f t="shared" si="27"/>
        <v/>
      </c>
      <c r="P104" s="32" t="str">
        <f t="shared" si="28"/>
        <v/>
      </c>
      <c r="Q104" s="32" t="str">
        <f t="shared" si="29"/>
        <v/>
      </c>
      <c r="R104" s="603"/>
      <c r="S104" s="281" t="str">
        <f t="shared" si="20"/>
        <v/>
      </c>
      <c r="T104" s="7"/>
      <c r="U104" s="23" t="str" cm="1">
        <f t="array" ref="U104">IF(OR(S104="",I104=""),"",_xlfn.IFS(
ROUND(IFERROR(VALUE(TRIM(SUBSTITUTE(S104,CHAR(160),""))),0),2)&gt;
ROUND(IFERROR(VALUE(TRIM(SUBSTITUTE(I104,CHAR(160),""))),0),2),
"KO : Le montant retenu est supérieur au montant présenté. Merci de revoir la ligne de contribution ou plafonner son montant.",
ROUND(IFERROR(VALUE(TRIM(SUBSTITUTE(I104,CHAR(160),""))),0),2)=0,
"",
ROUND(IFERROR(VALUE(TRIM(SUBSTITUTE(S104,CHAR(160),""))),0),2)=
ROUND(IFERROR(VALUE(TRIM(SUBSTITUTE(I104,CHAR(160),""))),0),2),
"OK",
ROUND(IFERROR(VALUE(TRIM(SUBSTITUTE(S104,CHAR(160),""))),0),2)=0,
"Attention : Montant présenté entièrement rejeté.",
ROUND(IFERROR(VALUE(TRIM(SUBSTITUTE(S104,CHAR(160),""))),0),2)&lt;
ROUND(IFERROR(VALUE(TRIM(SUBSTITUTE(I104,CHAR(160),""))),0),2),
"Attention : Montant présenté partiellement rejeté.",
TRUE,""
))</f>
        <v/>
      </c>
      <c r="V104" s="32" t="str">
        <f t="shared" si="21"/>
        <v/>
      </c>
    </row>
    <row r="105" spans="1:23" ht="15.95" thickBot="1">
      <c r="A105" s="199"/>
      <c r="B105" s="200"/>
      <c r="C105" s="200"/>
      <c r="D105" s="178"/>
      <c r="E105" s="178"/>
      <c r="F105" s="178"/>
      <c r="G105" s="178"/>
      <c r="H105" s="201" t="s">
        <v>137</v>
      </c>
      <c r="I105" s="202">
        <f>SUM(I5:I104)</f>
        <v>0</v>
      </c>
      <c r="J105" s="181"/>
      <c r="K105" s="145"/>
      <c r="L105" s="145"/>
      <c r="M105" s="145"/>
      <c r="N105" s="145"/>
      <c r="O105" s="145"/>
      <c r="P105" s="147"/>
      <c r="Q105" s="117"/>
      <c r="R105" s="146" t="s">
        <v>138</v>
      </c>
      <c r="S105" s="148">
        <f>SUM(S5:S104)</f>
        <v>0</v>
      </c>
      <c r="T105" s="149"/>
      <c r="U105" s="150"/>
      <c r="V105" s="148">
        <f>SUM(V5:V104)</f>
        <v>0</v>
      </c>
      <c r="W105" s="151"/>
    </row>
  </sheetData>
  <sheetProtection formatCells="0" formatColumns="0" formatRows="0" insertRows="0"/>
  <mergeCells count="3">
    <mergeCell ref="A1:J1"/>
    <mergeCell ref="A2:A3"/>
    <mergeCell ref="K1:V1"/>
  </mergeCells>
  <conditionalFormatting sqref="K4:Q104">
    <cfRule type="expression" dxfId="53" priority="267" stopIfTrue="1">
      <formula>K4&lt;&gt;B4</formula>
    </cfRule>
  </conditionalFormatting>
  <conditionalFormatting sqref="R5:R104">
    <cfRule type="containsText" dxfId="52" priority="1" operator="containsText" text="Non">
      <formula>NOT(ISERROR(SEARCH("Non",R5)))</formula>
    </cfRule>
  </conditionalFormatting>
  <conditionalFormatting sqref="U4:U104">
    <cfRule type="containsText" dxfId="51" priority="2" operator="containsText" text="OK">
      <formula>NOT(ISERROR(SEARCH("OK",U4)))</formula>
    </cfRule>
    <cfRule type="containsText" dxfId="50" priority="3" operator="containsText" text="KO">
      <formula>NOT(ISERROR(SEARCH("KO",U4)))</formula>
    </cfRule>
    <cfRule type="containsText" dxfId="49" priority="4" operator="containsText" text="Attention">
      <formula>NOT(ISERROR(SEARCH("Attention",U4)))</formula>
    </cfRule>
  </conditionalFormatting>
  <dataValidations count="1">
    <dataValidation type="list" allowBlank="1" showInputMessage="1" showErrorMessage="1" sqref="R5:R104" xr:uid="{F450660A-A75A-4E8D-97DC-E582E46E64C9}">
      <formula1>"Oui,Non,Sans objet"</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xr:uid="{4B198B95-65EA-4B2B-8DDA-ED21A3A299DD}">
          <x14:formula1>
            <xm:f>'0-Présentation typeaction'!$H$4:$H$12</xm:f>
          </x14:formula1>
          <xm:sqref>C4:C104</xm:sqref>
        </x14:dataValidation>
        <x14:dataValidation type="list" allowBlank="1" showInputMessage="1" showErrorMessage="1" xr:uid="{BDC788E3-3C9D-F842-9517-84C4809479CF}">
          <x14:formula1>
            <xm:f>'0-Présentation typeaction'!$H$4:$H$12</xm:f>
          </x14:formula1>
          <xm:sqref>L5:L104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2093E-3D61-43EC-8C88-F8A733DF9989}">
  <sheetPr>
    <pageSetUpPr fitToPage="1"/>
  </sheetPr>
  <dimension ref="A1:AJ105"/>
  <sheetViews>
    <sheetView showGridLines="0" zoomScale="32" zoomScaleNormal="70" workbookViewId="0">
      <selection activeCell="AG5" sqref="AG5"/>
    </sheetView>
  </sheetViews>
  <sheetFormatPr defaultColWidth="11.42578125" defaultRowHeight="15" outlineLevelCol="1"/>
  <cols>
    <col min="1" max="1" width="11" bestFit="1" customWidth="1"/>
    <col min="2" max="2" width="27.42578125" bestFit="1" customWidth="1"/>
    <col min="3" max="3" width="33.140625" bestFit="1" customWidth="1"/>
    <col min="4" max="4" width="23.85546875" bestFit="1" customWidth="1"/>
    <col min="5" max="5" width="17" bestFit="1" customWidth="1"/>
    <col min="6" max="6" width="27.140625" bestFit="1" customWidth="1"/>
    <col min="7" max="7" width="27.42578125" style="115" bestFit="1" customWidth="1"/>
    <col min="8" max="8" width="17.85546875" bestFit="1" customWidth="1"/>
    <col min="9" max="9" width="17" customWidth="1"/>
    <col min="10" max="10" width="16.42578125" bestFit="1" customWidth="1"/>
    <col min="11" max="12" width="15.42578125" customWidth="1"/>
    <col min="13" max="13" width="16.42578125" bestFit="1" customWidth="1"/>
    <col min="14" max="14" width="21.140625" bestFit="1" customWidth="1"/>
    <col min="15" max="15" width="20.42578125" bestFit="1" customWidth="1"/>
    <col min="16" max="16" width="22.140625" bestFit="1" customWidth="1"/>
    <col min="17" max="17" width="36.42578125" customWidth="1"/>
    <col min="18" max="18" width="20.42578125" customWidth="1" outlineLevel="1"/>
    <col min="19" max="19" width="33.140625" customWidth="1" outlineLevel="1"/>
    <col min="20" max="23" width="19.85546875" customWidth="1" outlineLevel="1"/>
    <col min="24" max="24" width="25.140625" customWidth="1" outlineLevel="1"/>
    <col min="25" max="25" width="20.42578125" customWidth="1" outlineLevel="1"/>
    <col min="26" max="26" width="21.42578125" customWidth="1" outlineLevel="1"/>
    <col min="27" max="28" width="19.85546875" customWidth="1" outlineLevel="1"/>
    <col min="29" max="29" width="25.140625" customWidth="1" outlineLevel="1"/>
    <col min="30" max="30" width="21.85546875" customWidth="1" outlineLevel="1"/>
    <col min="31" max="31" width="22.140625" customWidth="1" outlineLevel="1"/>
    <col min="32" max="32" width="24.42578125" customWidth="1" outlineLevel="1"/>
    <col min="33" max="33" width="25.140625" customWidth="1" outlineLevel="1"/>
    <col min="34" max="34" width="28.42578125" customWidth="1" outlineLevel="1"/>
    <col min="35" max="35" width="40.42578125" customWidth="1" outlineLevel="1"/>
    <col min="36" max="36" width="25.85546875" customWidth="1" outlineLevel="1"/>
  </cols>
  <sheetData>
    <row r="1" spans="1:36" ht="71.25" customHeight="1">
      <c r="A1" s="945" t="s">
        <v>179</v>
      </c>
      <c r="B1" s="969"/>
      <c r="C1" s="969"/>
      <c r="D1" s="969"/>
      <c r="E1" s="969"/>
      <c r="F1" s="969"/>
      <c r="G1" s="969"/>
      <c r="H1" s="969"/>
      <c r="I1" s="969"/>
      <c r="J1" s="969"/>
      <c r="K1" s="969"/>
      <c r="L1" s="969"/>
      <c r="M1" s="969"/>
      <c r="N1" s="969"/>
      <c r="O1" s="969"/>
      <c r="P1" s="969"/>
      <c r="Q1" s="970"/>
      <c r="R1" s="965" t="s">
        <v>180</v>
      </c>
      <c r="S1" s="965"/>
      <c r="T1" s="965"/>
      <c r="U1" s="965"/>
      <c r="V1" s="965"/>
      <c r="W1" s="965"/>
      <c r="X1" s="965"/>
      <c r="Y1" s="965"/>
      <c r="Z1" s="965"/>
      <c r="AA1" s="965"/>
      <c r="AB1" s="965"/>
      <c r="AC1" s="965"/>
      <c r="AD1" s="965"/>
      <c r="AE1" s="965"/>
      <c r="AF1" s="965"/>
      <c r="AG1" s="965"/>
      <c r="AH1" s="965"/>
      <c r="AI1" s="965"/>
      <c r="AJ1" s="965"/>
    </row>
    <row r="2" spans="1:36" s="78" customFormat="1" ht="69.95" customHeight="1">
      <c r="A2" s="968" t="s">
        <v>51</v>
      </c>
      <c r="B2" s="41" t="s">
        <v>52</v>
      </c>
      <c r="C2" s="41" t="s">
        <v>55</v>
      </c>
      <c r="D2" s="73" t="s">
        <v>181</v>
      </c>
      <c r="E2" s="121" t="s">
        <v>182</v>
      </c>
      <c r="F2" s="121" t="s">
        <v>183</v>
      </c>
      <c r="G2" s="121" t="s">
        <v>184</v>
      </c>
      <c r="H2" s="122" t="s">
        <v>185</v>
      </c>
      <c r="I2" s="122" t="s">
        <v>186</v>
      </c>
      <c r="J2" s="121" t="s">
        <v>187</v>
      </c>
      <c r="K2" s="122" t="s">
        <v>188</v>
      </c>
      <c r="L2" s="121" t="s">
        <v>189</v>
      </c>
      <c r="M2" s="121" t="s">
        <v>190</v>
      </c>
      <c r="N2" s="121" t="s">
        <v>191</v>
      </c>
      <c r="O2" s="121" t="s">
        <v>192</v>
      </c>
      <c r="P2" s="121" t="s">
        <v>193</v>
      </c>
      <c r="Q2" s="191" t="s">
        <v>80</v>
      </c>
      <c r="R2" s="132" t="s">
        <v>52</v>
      </c>
      <c r="S2" s="129" t="s">
        <v>55</v>
      </c>
      <c r="T2" s="129" t="s">
        <v>181</v>
      </c>
      <c r="U2" s="129" t="s">
        <v>182</v>
      </c>
      <c r="V2" s="129" t="s">
        <v>183</v>
      </c>
      <c r="W2" s="129" t="s">
        <v>54</v>
      </c>
      <c r="X2" s="129" t="s">
        <v>185</v>
      </c>
      <c r="Y2" s="129" t="s">
        <v>186</v>
      </c>
      <c r="Z2" s="129" t="s">
        <v>187</v>
      </c>
      <c r="AA2" s="129" t="s">
        <v>188</v>
      </c>
      <c r="AB2" s="129" t="s">
        <v>189</v>
      </c>
      <c r="AC2" s="129" t="s">
        <v>190</v>
      </c>
      <c r="AD2" s="129" t="s">
        <v>194</v>
      </c>
      <c r="AE2" s="129" t="s">
        <v>193</v>
      </c>
      <c r="AF2" s="129" t="s">
        <v>163</v>
      </c>
      <c r="AG2" s="129" t="s">
        <v>195</v>
      </c>
      <c r="AH2" s="129" t="s">
        <v>91</v>
      </c>
      <c r="AI2" s="129" t="s">
        <v>93</v>
      </c>
      <c r="AJ2" s="129" t="s">
        <v>165</v>
      </c>
    </row>
    <row r="3" spans="1:36" s="1" customFormat="1" ht="195" customHeight="1">
      <c r="A3" s="912"/>
      <c r="B3" s="21" t="s">
        <v>166</v>
      </c>
      <c r="C3" s="21" t="s">
        <v>167</v>
      </c>
      <c r="D3" s="21" t="s">
        <v>196</v>
      </c>
      <c r="E3" s="21" t="s">
        <v>197</v>
      </c>
      <c r="F3" s="21" t="s">
        <v>198</v>
      </c>
      <c r="G3" s="21" t="s">
        <v>169</v>
      </c>
      <c r="H3" s="21" t="s">
        <v>199</v>
      </c>
      <c r="I3" s="21" t="s">
        <v>200</v>
      </c>
      <c r="J3" s="21" t="s">
        <v>201</v>
      </c>
      <c r="K3" s="21" t="s">
        <v>200</v>
      </c>
      <c r="L3" s="852" t="s">
        <v>202</v>
      </c>
      <c r="M3" s="21" t="s">
        <v>203</v>
      </c>
      <c r="N3" s="21" t="s">
        <v>204</v>
      </c>
      <c r="O3" s="22" t="s">
        <v>205</v>
      </c>
      <c r="P3" s="22" t="s">
        <v>206</v>
      </c>
      <c r="Q3" s="172" t="s">
        <v>117</v>
      </c>
      <c r="R3" s="189" t="s">
        <v>118</v>
      </c>
      <c r="S3" s="4" t="s">
        <v>116</v>
      </c>
      <c r="T3" s="4" t="s">
        <v>121</v>
      </c>
      <c r="U3" s="4" t="s">
        <v>121</v>
      </c>
      <c r="V3" s="4" t="s">
        <v>121</v>
      </c>
      <c r="W3" s="4" t="s">
        <v>121</v>
      </c>
      <c r="X3" s="4" t="s">
        <v>121</v>
      </c>
      <c r="Y3" s="4" t="s">
        <v>121</v>
      </c>
      <c r="Z3" s="4" t="s">
        <v>121</v>
      </c>
      <c r="AA3" s="4" t="s">
        <v>121</v>
      </c>
      <c r="AB3" s="853" t="s">
        <v>202</v>
      </c>
      <c r="AC3" s="2" t="s">
        <v>203</v>
      </c>
      <c r="AD3" s="4" t="s">
        <v>121</v>
      </c>
      <c r="AE3" s="4" t="s">
        <v>121</v>
      </c>
      <c r="AF3" s="4" t="s">
        <v>174</v>
      </c>
      <c r="AG3" s="4" t="s">
        <v>121</v>
      </c>
      <c r="AH3" s="4" t="s">
        <v>175</v>
      </c>
      <c r="AI3" s="4" t="s">
        <v>125</v>
      </c>
      <c r="AJ3" s="4" t="s">
        <v>116</v>
      </c>
    </row>
    <row r="4" spans="1:36" s="1" customFormat="1" ht="48.75" customHeight="1" thickBot="1">
      <c r="A4" s="253" t="s">
        <v>41</v>
      </c>
      <c r="B4" s="152"/>
      <c r="C4" s="153"/>
      <c r="D4" s="254"/>
      <c r="E4" s="254"/>
      <c r="F4" s="254"/>
      <c r="G4" s="255"/>
      <c r="H4" s="254"/>
      <c r="I4" s="254"/>
      <c r="J4" s="254"/>
      <c r="K4" s="254"/>
      <c r="L4" s="254"/>
      <c r="M4" s="254"/>
      <c r="N4" s="256"/>
      <c r="O4" s="279"/>
      <c r="P4" s="257"/>
      <c r="Q4" s="258"/>
      <c r="R4" s="259"/>
      <c r="S4" s="260"/>
      <c r="T4" s="260"/>
      <c r="U4" s="260"/>
      <c r="V4" s="260"/>
      <c r="W4" s="261"/>
      <c r="X4" s="260"/>
      <c r="Y4" s="262"/>
      <c r="Z4" s="260"/>
      <c r="AA4" s="262"/>
      <c r="AB4" s="254"/>
      <c r="AC4" s="254"/>
      <c r="AD4" s="263"/>
      <c r="AE4" s="260"/>
      <c r="AF4" s="264"/>
      <c r="AG4" s="265"/>
      <c r="AH4" s="266"/>
      <c r="AI4" s="267"/>
      <c r="AJ4" s="265"/>
    </row>
    <row r="5" spans="1:36" s="1" customFormat="1" ht="63" customHeight="1">
      <c r="A5" s="269">
        <v>1</v>
      </c>
      <c r="B5" s="268"/>
      <c r="C5" s="39"/>
      <c r="D5" s="268"/>
      <c r="E5" s="12"/>
      <c r="F5" s="248"/>
      <c r="G5" s="249"/>
      <c r="H5" s="12"/>
      <c r="I5" s="12"/>
      <c r="J5" s="876"/>
      <c r="K5" s="12"/>
      <c r="L5" s="877"/>
      <c r="M5" s="851" t="str">
        <f t="shared" ref="M5:M69" si="0">IF(K5="","",L5/365)</f>
        <v/>
      </c>
      <c r="N5" s="15"/>
      <c r="O5" s="280" t="str">
        <f t="shared" ref="O5:O69" si="1">IF(K5="","",((N5/K5)*M5)*G5)</f>
        <v/>
      </c>
      <c r="P5" s="878"/>
      <c r="Q5" s="250"/>
      <c r="R5" s="190" t="str">
        <f t="shared" ref="R5:AA5" si="2">IF(B5="","",B5)</f>
        <v/>
      </c>
      <c r="S5" s="154" t="str">
        <f t="shared" si="2"/>
        <v/>
      </c>
      <c r="T5" s="154" t="str">
        <f t="shared" si="2"/>
        <v/>
      </c>
      <c r="U5" s="154" t="str">
        <f t="shared" si="2"/>
        <v/>
      </c>
      <c r="V5" s="154" t="str">
        <f t="shared" si="2"/>
        <v/>
      </c>
      <c r="W5" s="110" t="str">
        <f t="shared" si="2"/>
        <v/>
      </c>
      <c r="X5" s="154" t="str">
        <f t="shared" si="2"/>
        <v/>
      </c>
      <c r="Y5" s="111" t="str">
        <f t="shared" si="2"/>
        <v/>
      </c>
      <c r="Z5" s="154" t="str">
        <f t="shared" si="2"/>
        <v/>
      </c>
      <c r="AA5" s="111" t="str">
        <f t="shared" si="2"/>
        <v/>
      </c>
      <c r="AB5" s="111" t="str">
        <f t="shared" ref="AB5:AB69" si="3">IF(L5="","",L5)</f>
        <v/>
      </c>
      <c r="AC5" s="879" t="str">
        <f>IF(AB5="","",AB5/365)</f>
        <v/>
      </c>
      <c r="AD5" s="32" t="str">
        <f t="shared" ref="AD5:AD69" si="4">IF(N5="","",N5)</f>
        <v/>
      </c>
      <c r="AE5" s="154" t="str">
        <f t="shared" ref="AE5:AE69" si="5">IF(P5="","",P5)</f>
        <v/>
      </c>
      <c r="AF5" s="7"/>
      <c r="AG5" s="280" t="str">
        <f>IF(AA5="","",((AD5/AA5)*AC5)*W5)</f>
        <v/>
      </c>
      <c r="AH5" s="880"/>
      <c r="AI5" s="252" t="str" cm="1">
        <f t="array" ref="AI5">IF(OR(AG5="",O5=""),"",_xlfn.IFS(
ROUND(IFERROR(VALUE(TRIM(SUBSTITUTE(AG5,CHAR(160),""))),0),2)&gt;
ROUND(IFERROR(VALUE(TRIM(SUBSTITUTE(O5,CHAR(160),""))),0),2),
"KO : Le montant retenu est supérieur au montant présenté. Merci de revoir la ligne de contributions ou plafonner son montant.",
ROUND(IFERROR(VALUE(TRIM(SUBSTITUTE(O5,CHAR(160),""))),0),2)=0,
"",
ROUND(IFERROR(VALUE(TRIM(SUBSTITUTE(AG5,CHAR(160),""))),0),2)=
ROUND(IFERROR(VALUE(TRIM(SUBSTITUTE(O5,CHAR(160),""))),0),2),
"OK",
ROUND(IFERROR(VALUE(TRIM(SUBSTITUTE(AG5,CHAR(160),""))),0),2)=0,
"Attention : Montant présenté entièrement rejeté.",
ROUND(IFERROR(VALUE(TRIM(SUBSTITUTE(AG5,CHAR(160),""))),0),2)&lt;
ROUND(IFERROR(VALUE(TRIM(SUBSTITUTE(O5,CHAR(160),""))),0),2),
"Attention : Montant présenté partiellement rejeté.",
TRUE,""
))</f>
        <v/>
      </c>
      <c r="AJ5" s="251" t="str">
        <f t="shared" ref="AJ5" si="6">IF(OR(O5="",AG5=""),"",IFERROR(VALUE(TRIM(SUBSTITUTE(O5,CHAR(160),""))),0)-IFERROR(VALUE(TRIM(SUBSTITUTE(AG5,CHAR(160),""))),0))</f>
        <v/>
      </c>
    </row>
    <row r="6" spans="1:36" s="1" customFormat="1" ht="15" customHeight="1">
      <c r="A6" s="175">
        <v>2</v>
      </c>
      <c r="B6" s="268"/>
      <c r="C6" s="30"/>
      <c r="D6" s="7"/>
      <c r="E6" s="12"/>
      <c r="F6" s="7"/>
      <c r="G6" s="13"/>
      <c r="H6" s="7"/>
      <c r="I6" s="10"/>
      <c r="J6" s="14"/>
      <c r="K6" s="10"/>
      <c r="L6" s="10"/>
      <c r="M6" s="851" t="str">
        <f t="shared" si="0"/>
        <v/>
      </c>
      <c r="N6" s="15"/>
      <c r="O6" s="280" t="str">
        <f t="shared" si="1"/>
        <v/>
      </c>
      <c r="P6" s="7"/>
      <c r="Q6" s="192"/>
      <c r="R6" s="190" t="str">
        <f t="shared" ref="R6:R37" si="7">IF(B6="","",B6)</f>
        <v/>
      </c>
      <c r="S6" s="154" t="str">
        <f t="shared" ref="S6:S37" si="8">IF(C6="","",C6)</f>
        <v/>
      </c>
      <c r="T6" s="154" t="str">
        <f t="shared" ref="T6:T37" si="9">IF(D6="","",D6)</f>
        <v/>
      </c>
      <c r="U6" s="154" t="str">
        <f t="shared" ref="U6:U37" si="10">IF(E6="","",E6)</f>
        <v/>
      </c>
      <c r="V6" s="154" t="str">
        <f t="shared" ref="V6:V37" si="11">IF(F6="","",F6)</f>
        <v/>
      </c>
      <c r="W6" s="110" t="str">
        <f t="shared" ref="W6:W37" si="12">IF(G6="","",G6)</f>
        <v/>
      </c>
      <c r="X6" s="154" t="str">
        <f t="shared" ref="X6:X37" si="13">IF(H6="","",H6)</f>
        <v/>
      </c>
      <c r="Y6" s="111" t="str">
        <f t="shared" ref="Y6:Y37" si="14">IF(I6="","",I6)</f>
        <v/>
      </c>
      <c r="Z6" s="154" t="str">
        <f t="shared" ref="Z6:Z37" si="15">IF(J6="","",J6)</f>
        <v/>
      </c>
      <c r="AA6" s="111" t="str">
        <f t="shared" ref="AA6:AA37" si="16">IF(K6="","",K6)</f>
        <v/>
      </c>
      <c r="AB6" s="111" t="str">
        <f t="shared" si="3"/>
        <v/>
      </c>
      <c r="AC6" s="851" t="str">
        <f t="shared" ref="AC6:AC69" si="17">IF(AB6="","",AB6/365)</f>
        <v/>
      </c>
      <c r="AD6" s="32" t="str">
        <f t="shared" si="4"/>
        <v/>
      </c>
      <c r="AE6" s="154" t="str">
        <f t="shared" si="5"/>
        <v/>
      </c>
      <c r="AF6" s="7"/>
      <c r="AG6" s="280" t="str">
        <f t="shared" ref="AG6:AG69" si="18">IF(AA6="","",((AD6/AA6)*AC6)*W6)</f>
        <v/>
      </c>
      <c r="AH6" s="603"/>
      <c r="AI6" s="252" t="str" cm="1">
        <f t="array" ref="AI6">IF(OR(AG6="",O6=""),"",_xlfn.IFS(
ROUND(IFERROR(VALUE(TRIM(SUBSTITUTE(AG6,CHAR(160),""))),0),2)&gt;
ROUND(IFERROR(VALUE(TRIM(SUBSTITUTE(O6,CHAR(160),""))),0),2),
"KO : Le montant retenu est supérieur au montant présenté. Merci de revoir la ligne de contributions ou plafonner son montant.",
ROUND(IFERROR(VALUE(TRIM(SUBSTITUTE(O6,CHAR(160),""))),0),2)=0,
"",
ROUND(IFERROR(VALUE(TRIM(SUBSTITUTE(AG6,CHAR(160),""))),0),2)=
ROUND(IFERROR(VALUE(TRIM(SUBSTITUTE(O6,CHAR(160),""))),0),2),
"OK",
ROUND(IFERROR(VALUE(TRIM(SUBSTITUTE(AG6,CHAR(160),""))),0),2)=0,
"Attention : Montant présenté entièrement rejeté.",
ROUND(IFERROR(VALUE(TRIM(SUBSTITUTE(AG6,CHAR(160),""))),0),2)&lt;
ROUND(IFERROR(VALUE(TRIM(SUBSTITUTE(O6,CHAR(160),""))),0),2),
"Attention : Montant présenté partiellement rejeté.",
TRUE,""
))</f>
        <v/>
      </c>
      <c r="AJ6" s="251" t="str">
        <f t="shared" ref="AJ6:AJ69" si="19">IF(OR(O6="",AG6=""),"",IFERROR(VALUE(TRIM(SUBSTITUTE(O6,CHAR(160),""))),0)-IFERROR(VALUE(TRIM(SUBSTITUTE(AG6,CHAR(160),""))),0))</f>
        <v/>
      </c>
    </row>
    <row r="7" spans="1:36" ht="15" customHeight="1">
      <c r="A7" s="193">
        <v>3</v>
      </c>
      <c r="B7" s="268"/>
      <c r="C7" s="30"/>
      <c r="D7" s="7"/>
      <c r="E7" s="12"/>
      <c r="F7" s="7"/>
      <c r="G7" s="13"/>
      <c r="H7" s="7"/>
      <c r="I7" s="10"/>
      <c r="J7" s="14"/>
      <c r="K7" s="10"/>
      <c r="L7" s="10"/>
      <c r="M7" s="851" t="str">
        <f t="shared" si="0"/>
        <v/>
      </c>
      <c r="N7" s="15"/>
      <c r="O7" s="280" t="str">
        <f t="shared" si="1"/>
        <v/>
      </c>
      <c r="P7" s="7"/>
      <c r="Q7" s="192"/>
      <c r="R7" s="190" t="str">
        <f t="shared" si="7"/>
        <v/>
      </c>
      <c r="S7" s="154" t="str">
        <f t="shared" si="8"/>
        <v/>
      </c>
      <c r="T7" s="154" t="str">
        <f t="shared" si="9"/>
        <v/>
      </c>
      <c r="U7" s="154" t="str">
        <f t="shared" si="10"/>
        <v/>
      </c>
      <c r="V7" s="154" t="str">
        <f t="shared" si="11"/>
        <v/>
      </c>
      <c r="W7" s="110" t="str">
        <f t="shared" si="12"/>
        <v/>
      </c>
      <c r="X7" s="154" t="str">
        <f t="shared" si="13"/>
        <v/>
      </c>
      <c r="Y7" s="111" t="str">
        <f t="shared" si="14"/>
        <v/>
      </c>
      <c r="Z7" s="154" t="str">
        <f t="shared" si="15"/>
        <v/>
      </c>
      <c r="AA7" s="111" t="str">
        <f t="shared" si="16"/>
        <v/>
      </c>
      <c r="AB7" s="111" t="str">
        <f t="shared" si="3"/>
        <v/>
      </c>
      <c r="AC7" s="851" t="str">
        <f t="shared" si="17"/>
        <v/>
      </c>
      <c r="AD7" s="32" t="str">
        <f t="shared" si="4"/>
        <v/>
      </c>
      <c r="AE7" s="154" t="str">
        <f t="shared" si="5"/>
        <v/>
      </c>
      <c r="AF7" s="7"/>
      <c r="AG7" s="280" t="str">
        <f t="shared" si="18"/>
        <v/>
      </c>
      <c r="AH7" s="603"/>
      <c r="AI7" s="252" t="str" cm="1">
        <f t="array" ref="AI7">IF(OR(AG7="",O7=""),"",_xlfn.IFS(
ROUND(IFERROR(VALUE(TRIM(SUBSTITUTE(AG7,CHAR(160),""))),0),2)&gt;
ROUND(IFERROR(VALUE(TRIM(SUBSTITUTE(O7,CHAR(160),""))),0),2),
"KO : Le montant retenu est supérieur au montant présenté. Merci de revoir la ligne de contributions ou plafonner son montant.",
ROUND(IFERROR(VALUE(TRIM(SUBSTITUTE(O7,CHAR(160),""))),0),2)=0,
"",
ROUND(IFERROR(VALUE(TRIM(SUBSTITUTE(AG7,CHAR(160),""))),0),2)=
ROUND(IFERROR(VALUE(TRIM(SUBSTITUTE(O7,CHAR(160),""))),0),2),
"OK",
ROUND(IFERROR(VALUE(TRIM(SUBSTITUTE(AG7,CHAR(160),""))),0),2)=0,
"Attention : Montant présenté entièrement rejeté.",
ROUND(IFERROR(VALUE(TRIM(SUBSTITUTE(AG7,CHAR(160),""))),0),2)&lt;
ROUND(IFERROR(VALUE(TRIM(SUBSTITUTE(O7,CHAR(160),""))),0),2),
"Attention : Montant présenté partiellement rejeté.",
TRUE,""
))</f>
        <v/>
      </c>
      <c r="AJ7" s="251" t="str">
        <f t="shared" si="19"/>
        <v/>
      </c>
    </row>
    <row r="8" spans="1:36" ht="15" customHeight="1">
      <c r="A8" s="193">
        <v>4</v>
      </c>
      <c r="B8" s="268"/>
      <c r="C8" s="30"/>
      <c r="D8" s="7"/>
      <c r="E8" s="12"/>
      <c r="F8" s="7"/>
      <c r="G8" s="13"/>
      <c r="H8" s="7"/>
      <c r="I8" s="10"/>
      <c r="J8" s="14"/>
      <c r="K8" s="10"/>
      <c r="L8" s="10"/>
      <c r="M8" s="851" t="str">
        <f t="shared" si="0"/>
        <v/>
      </c>
      <c r="N8" s="15"/>
      <c r="O8" s="280" t="str">
        <f t="shared" si="1"/>
        <v/>
      </c>
      <c r="P8" s="7"/>
      <c r="Q8" s="192"/>
      <c r="R8" s="190" t="str">
        <f t="shared" si="7"/>
        <v/>
      </c>
      <c r="S8" s="154" t="str">
        <f t="shared" si="8"/>
        <v/>
      </c>
      <c r="T8" s="154" t="str">
        <f t="shared" si="9"/>
        <v/>
      </c>
      <c r="U8" s="154" t="str">
        <f t="shared" si="10"/>
        <v/>
      </c>
      <c r="V8" s="154" t="str">
        <f t="shared" si="11"/>
        <v/>
      </c>
      <c r="W8" s="110" t="str">
        <f t="shared" si="12"/>
        <v/>
      </c>
      <c r="X8" s="154" t="str">
        <f t="shared" si="13"/>
        <v/>
      </c>
      <c r="Y8" s="111" t="str">
        <f t="shared" si="14"/>
        <v/>
      </c>
      <c r="Z8" s="154" t="str">
        <f t="shared" si="15"/>
        <v/>
      </c>
      <c r="AA8" s="111" t="str">
        <f t="shared" si="16"/>
        <v/>
      </c>
      <c r="AB8" s="111" t="str">
        <f t="shared" si="3"/>
        <v/>
      </c>
      <c r="AC8" s="851" t="str">
        <f t="shared" si="17"/>
        <v/>
      </c>
      <c r="AD8" s="32" t="str">
        <f t="shared" si="4"/>
        <v/>
      </c>
      <c r="AE8" s="154" t="str">
        <f t="shared" si="5"/>
        <v/>
      </c>
      <c r="AF8" s="7"/>
      <c r="AG8" s="280" t="str">
        <f t="shared" si="18"/>
        <v/>
      </c>
      <c r="AH8" s="603"/>
      <c r="AI8" s="252" t="str" cm="1">
        <f t="array" ref="AI8">IF(OR(AG8="",O8=""),"",_xlfn.IFS(
ROUND(IFERROR(VALUE(TRIM(SUBSTITUTE(AG8,CHAR(160),""))),0),2)&gt;
ROUND(IFERROR(VALUE(TRIM(SUBSTITUTE(O8,CHAR(160),""))),0),2),
"KO : Le montant retenu est supérieur au montant présenté. Merci de revoir la ligne de contributions ou plafonner son montant.",
ROUND(IFERROR(VALUE(TRIM(SUBSTITUTE(O8,CHAR(160),""))),0),2)=0,
"",
ROUND(IFERROR(VALUE(TRIM(SUBSTITUTE(AG8,CHAR(160),""))),0),2)=
ROUND(IFERROR(VALUE(TRIM(SUBSTITUTE(O8,CHAR(160),""))),0),2),
"OK",
ROUND(IFERROR(VALUE(TRIM(SUBSTITUTE(AG8,CHAR(160),""))),0),2)=0,
"Attention : Montant présenté entièrement rejeté.",
ROUND(IFERROR(VALUE(TRIM(SUBSTITUTE(AG8,CHAR(160),""))),0),2)&lt;
ROUND(IFERROR(VALUE(TRIM(SUBSTITUTE(O8,CHAR(160),""))),0),2),
"Attention : Montant présenté partiellement rejeté.",
TRUE,""
))</f>
        <v/>
      </c>
      <c r="AJ8" s="251" t="str">
        <f t="shared" si="19"/>
        <v/>
      </c>
    </row>
    <row r="9" spans="1:36" ht="15" customHeight="1">
      <c r="A9" s="193">
        <v>5</v>
      </c>
      <c r="B9" s="268"/>
      <c r="C9" s="30"/>
      <c r="D9" s="7"/>
      <c r="E9" s="12"/>
      <c r="F9" s="7"/>
      <c r="G9" s="13"/>
      <c r="H9" s="7"/>
      <c r="I9" s="10"/>
      <c r="J9" s="14"/>
      <c r="K9" s="10"/>
      <c r="L9" s="10"/>
      <c r="M9" s="851" t="str">
        <f t="shared" si="0"/>
        <v/>
      </c>
      <c r="N9" s="15"/>
      <c r="O9" s="280" t="str">
        <f t="shared" si="1"/>
        <v/>
      </c>
      <c r="P9" s="7"/>
      <c r="Q9" s="192"/>
      <c r="R9" s="190" t="str">
        <f t="shared" si="7"/>
        <v/>
      </c>
      <c r="S9" s="154" t="str">
        <f t="shared" si="8"/>
        <v/>
      </c>
      <c r="T9" s="154" t="str">
        <f t="shared" si="9"/>
        <v/>
      </c>
      <c r="U9" s="154" t="str">
        <f t="shared" si="10"/>
        <v/>
      </c>
      <c r="V9" s="154" t="str">
        <f t="shared" si="11"/>
        <v/>
      </c>
      <c r="W9" s="110" t="str">
        <f t="shared" si="12"/>
        <v/>
      </c>
      <c r="X9" s="154" t="str">
        <f t="shared" si="13"/>
        <v/>
      </c>
      <c r="Y9" s="111" t="str">
        <f t="shared" si="14"/>
        <v/>
      </c>
      <c r="Z9" s="154" t="str">
        <f t="shared" si="15"/>
        <v/>
      </c>
      <c r="AA9" s="111" t="str">
        <f t="shared" si="16"/>
        <v/>
      </c>
      <c r="AB9" s="111" t="str">
        <f t="shared" si="3"/>
        <v/>
      </c>
      <c r="AC9" s="851" t="str">
        <f t="shared" si="17"/>
        <v/>
      </c>
      <c r="AD9" s="32" t="str">
        <f t="shared" si="4"/>
        <v/>
      </c>
      <c r="AE9" s="154" t="str">
        <f t="shared" si="5"/>
        <v/>
      </c>
      <c r="AF9" s="7"/>
      <c r="AG9" s="280" t="str">
        <f t="shared" si="18"/>
        <v/>
      </c>
      <c r="AH9" s="603"/>
      <c r="AI9" s="252" t="str" cm="1">
        <f t="array" ref="AI9">IF(OR(AG9="",O9=""),"",_xlfn.IFS(
ROUND(IFERROR(VALUE(TRIM(SUBSTITUTE(AG9,CHAR(160),""))),0),2)&gt;
ROUND(IFERROR(VALUE(TRIM(SUBSTITUTE(O9,CHAR(160),""))),0),2),
"KO : Le montant retenu est supérieur au montant présenté. Merci de revoir la ligne de contributions ou plafonner son montant.",
ROUND(IFERROR(VALUE(TRIM(SUBSTITUTE(O9,CHAR(160),""))),0),2)=0,
"",
ROUND(IFERROR(VALUE(TRIM(SUBSTITUTE(AG9,CHAR(160),""))),0),2)=
ROUND(IFERROR(VALUE(TRIM(SUBSTITUTE(O9,CHAR(160),""))),0),2),
"OK",
ROUND(IFERROR(VALUE(TRIM(SUBSTITUTE(AG9,CHAR(160),""))),0),2)=0,
"Attention : Montant présenté entièrement rejeté.",
ROUND(IFERROR(VALUE(TRIM(SUBSTITUTE(AG9,CHAR(160),""))),0),2)&lt;
ROUND(IFERROR(VALUE(TRIM(SUBSTITUTE(O9,CHAR(160),""))),0),2),
"Attention : Montant présenté partiellement rejeté.",
TRUE,""
))</f>
        <v/>
      </c>
      <c r="AJ9" s="251" t="str">
        <f t="shared" si="19"/>
        <v/>
      </c>
    </row>
    <row r="10" spans="1:36" ht="15" customHeight="1">
      <c r="A10" s="193">
        <v>6</v>
      </c>
      <c r="B10" s="268"/>
      <c r="C10" s="30"/>
      <c r="D10" s="7"/>
      <c r="E10" s="12"/>
      <c r="F10" s="7"/>
      <c r="G10" s="13"/>
      <c r="H10" s="7"/>
      <c r="I10" s="10"/>
      <c r="J10" s="14"/>
      <c r="K10" s="10"/>
      <c r="L10" s="10"/>
      <c r="M10" s="851" t="str">
        <f t="shared" si="0"/>
        <v/>
      </c>
      <c r="N10" s="15"/>
      <c r="O10" s="280" t="str">
        <f t="shared" si="1"/>
        <v/>
      </c>
      <c r="P10" s="7"/>
      <c r="Q10" s="192"/>
      <c r="R10" s="190" t="str">
        <f t="shared" si="7"/>
        <v/>
      </c>
      <c r="S10" s="154" t="str">
        <f t="shared" si="8"/>
        <v/>
      </c>
      <c r="T10" s="154" t="str">
        <f t="shared" si="9"/>
        <v/>
      </c>
      <c r="U10" s="154" t="str">
        <f t="shared" si="10"/>
        <v/>
      </c>
      <c r="V10" s="154" t="str">
        <f t="shared" si="11"/>
        <v/>
      </c>
      <c r="W10" s="110" t="str">
        <f t="shared" si="12"/>
        <v/>
      </c>
      <c r="X10" s="154" t="str">
        <f t="shared" si="13"/>
        <v/>
      </c>
      <c r="Y10" s="111" t="str">
        <f t="shared" si="14"/>
        <v/>
      </c>
      <c r="Z10" s="154" t="str">
        <f t="shared" si="15"/>
        <v/>
      </c>
      <c r="AA10" s="111" t="str">
        <f t="shared" si="16"/>
        <v/>
      </c>
      <c r="AB10" s="111" t="str">
        <f t="shared" si="3"/>
        <v/>
      </c>
      <c r="AC10" s="851" t="str">
        <f t="shared" si="17"/>
        <v/>
      </c>
      <c r="AD10" s="32" t="str">
        <f t="shared" si="4"/>
        <v/>
      </c>
      <c r="AE10" s="154" t="str">
        <f t="shared" si="5"/>
        <v/>
      </c>
      <c r="AF10" s="7"/>
      <c r="AG10" s="280" t="str">
        <f t="shared" si="18"/>
        <v/>
      </c>
      <c r="AH10" s="603"/>
      <c r="AI10" s="252" t="str" cm="1">
        <f t="array" ref="AI10">IF(OR(AG10="",O10=""),"",_xlfn.IFS(
ROUND(IFERROR(VALUE(TRIM(SUBSTITUTE(AG10,CHAR(160),""))),0),2)&gt;
ROUND(IFERROR(VALUE(TRIM(SUBSTITUTE(O10,CHAR(160),""))),0),2),
"KO : Le montant retenu est supérieur au montant présenté. Merci de revoir la ligne de contributions ou plafonner son montant.",
ROUND(IFERROR(VALUE(TRIM(SUBSTITUTE(O10,CHAR(160),""))),0),2)=0,
"",
ROUND(IFERROR(VALUE(TRIM(SUBSTITUTE(AG10,CHAR(160),""))),0),2)=
ROUND(IFERROR(VALUE(TRIM(SUBSTITUTE(O10,CHAR(160),""))),0),2),
"OK",
ROUND(IFERROR(VALUE(TRIM(SUBSTITUTE(AG10,CHAR(160),""))),0),2)=0,
"Attention : Montant présenté entièrement rejeté.",
ROUND(IFERROR(VALUE(TRIM(SUBSTITUTE(AG10,CHAR(160),""))),0),2)&lt;
ROUND(IFERROR(VALUE(TRIM(SUBSTITUTE(O10,CHAR(160),""))),0),2),
"Attention : Montant présenté partiellement rejeté.",
TRUE,""
))</f>
        <v/>
      </c>
      <c r="AJ10" s="251" t="str">
        <f t="shared" si="19"/>
        <v/>
      </c>
    </row>
    <row r="11" spans="1:36" ht="15" customHeight="1">
      <c r="A11" s="193">
        <v>7</v>
      </c>
      <c r="B11" s="268"/>
      <c r="C11" s="30"/>
      <c r="D11" s="7"/>
      <c r="E11" s="12"/>
      <c r="F11" s="7"/>
      <c r="G11" s="13"/>
      <c r="H11" s="7"/>
      <c r="I11" s="10"/>
      <c r="J11" s="14"/>
      <c r="K11" s="10"/>
      <c r="L11" s="10"/>
      <c r="M11" s="851" t="str">
        <f t="shared" si="0"/>
        <v/>
      </c>
      <c r="N11" s="15"/>
      <c r="O11" s="280" t="str">
        <f t="shared" si="1"/>
        <v/>
      </c>
      <c r="P11" s="7"/>
      <c r="Q11" s="192"/>
      <c r="R11" s="190" t="str">
        <f t="shared" si="7"/>
        <v/>
      </c>
      <c r="S11" s="154" t="str">
        <f t="shared" si="8"/>
        <v/>
      </c>
      <c r="T11" s="154" t="str">
        <f t="shared" si="9"/>
        <v/>
      </c>
      <c r="U11" s="154" t="str">
        <f t="shared" si="10"/>
        <v/>
      </c>
      <c r="V11" s="154" t="str">
        <f t="shared" si="11"/>
        <v/>
      </c>
      <c r="W11" s="110" t="str">
        <f t="shared" si="12"/>
        <v/>
      </c>
      <c r="X11" s="154" t="str">
        <f t="shared" si="13"/>
        <v/>
      </c>
      <c r="Y11" s="111" t="str">
        <f t="shared" si="14"/>
        <v/>
      </c>
      <c r="Z11" s="154" t="str">
        <f t="shared" si="15"/>
        <v/>
      </c>
      <c r="AA11" s="111" t="str">
        <f t="shared" si="16"/>
        <v/>
      </c>
      <c r="AB11" s="111" t="str">
        <f t="shared" si="3"/>
        <v/>
      </c>
      <c r="AC11" s="851" t="str">
        <f t="shared" si="17"/>
        <v/>
      </c>
      <c r="AD11" s="32" t="str">
        <f t="shared" si="4"/>
        <v/>
      </c>
      <c r="AE11" s="154" t="str">
        <f t="shared" si="5"/>
        <v/>
      </c>
      <c r="AF11" s="7"/>
      <c r="AG11" s="280" t="str">
        <f t="shared" si="18"/>
        <v/>
      </c>
      <c r="AH11" s="603"/>
      <c r="AI11" s="252" t="str" cm="1">
        <f t="array" ref="AI11">IF(OR(AG11="",O11=""),"",_xlfn.IFS(
ROUND(IFERROR(VALUE(TRIM(SUBSTITUTE(AG11,CHAR(160),""))),0),2)&gt;
ROUND(IFERROR(VALUE(TRIM(SUBSTITUTE(O11,CHAR(160),""))),0),2),
"KO : Le montant retenu est supérieur au montant présenté. Merci de revoir la ligne de contributions ou plafonner son montant.",
ROUND(IFERROR(VALUE(TRIM(SUBSTITUTE(O11,CHAR(160),""))),0),2)=0,
"",
ROUND(IFERROR(VALUE(TRIM(SUBSTITUTE(AG11,CHAR(160),""))),0),2)=
ROUND(IFERROR(VALUE(TRIM(SUBSTITUTE(O11,CHAR(160),""))),0),2),
"OK",
ROUND(IFERROR(VALUE(TRIM(SUBSTITUTE(AG11,CHAR(160),""))),0),2)=0,
"Attention : Montant présenté entièrement rejeté.",
ROUND(IFERROR(VALUE(TRIM(SUBSTITUTE(AG11,CHAR(160),""))),0),2)&lt;
ROUND(IFERROR(VALUE(TRIM(SUBSTITUTE(O11,CHAR(160),""))),0),2),
"Attention : Montant présenté partiellement rejeté.",
TRUE,""
))</f>
        <v/>
      </c>
      <c r="AJ11" s="251" t="str">
        <f t="shared" si="19"/>
        <v/>
      </c>
    </row>
    <row r="12" spans="1:36" ht="15" customHeight="1">
      <c r="A12" s="193">
        <v>8</v>
      </c>
      <c r="B12" s="268"/>
      <c r="C12" s="30"/>
      <c r="D12" s="7"/>
      <c r="E12" s="12"/>
      <c r="F12" s="7"/>
      <c r="G12" s="13"/>
      <c r="H12" s="7"/>
      <c r="I12" s="10"/>
      <c r="J12" s="14"/>
      <c r="K12" s="10"/>
      <c r="L12" s="10"/>
      <c r="M12" s="851" t="str">
        <f t="shared" si="0"/>
        <v/>
      </c>
      <c r="N12" s="15"/>
      <c r="O12" s="280" t="str">
        <f t="shared" si="1"/>
        <v/>
      </c>
      <c r="P12" s="7"/>
      <c r="Q12" s="192"/>
      <c r="R12" s="190" t="str">
        <f t="shared" si="7"/>
        <v/>
      </c>
      <c r="S12" s="154" t="str">
        <f t="shared" si="8"/>
        <v/>
      </c>
      <c r="T12" s="154" t="str">
        <f t="shared" si="9"/>
        <v/>
      </c>
      <c r="U12" s="154" t="str">
        <f t="shared" si="10"/>
        <v/>
      </c>
      <c r="V12" s="154" t="str">
        <f t="shared" si="11"/>
        <v/>
      </c>
      <c r="W12" s="110" t="str">
        <f t="shared" si="12"/>
        <v/>
      </c>
      <c r="X12" s="154" t="str">
        <f t="shared" si="13"/>
        <v/>
      </c>
      <c r="Y12" s="111" t="str">
        <f t="shared" si="14"/>
        <v/>
      </c>
      <c r="Z12" s="154" t="str">
        <f t="shared" si="15"/>
        <v/>
      </c>
      <c r="AA12" s="111" t="str">
        <f t="shared" si="16"/>
        <v/>
      </c>
      <c r="AB12" s="111" t="str">
        <f t="shared" si="3"/>
        <v/>
      </c>
      <c r="AC12" s="851" t="str">
        <f t="shared" si="17"/>
        <v/>
      </c>
      <c r="AD12" s="32" t="str">
        <f t="shared" si="4"/>
        <v/>
      </c>
      <c r="AE12" s="154" t="str">
        <f t="shared" si="5"/>
        <v/>
      </c>
      <c r="AF12" s="7"/>
      <c r="AG12" s="280" t="str">
        <f t="shared" si="18"/>
        <v/>
      </c>
      <c r="AH12" s="603"/>
      <c r="AI12" s="252" t="str" cm="1">
        <f t="array" ref="AI12">IF(OR(AG12="",O12=""),"",_xlfn.IFS(
ROUND(IFERROR(VALUE(TRIM(SUBSTITUTE(AG12,CHAR(160),""))),0),2)&gt;
ROUND(IFERROR(VALUE(TRIM(SUBSTITUTE(O12,CHAR(160),""))),0),2),
"KO : Le montant retenu est supérieur au montant présenté. Merci de revoir la ligne de contributions ou plafonner son montant.",
ROUND(IFERROR(VALUE(TRIM(SUBSTITUTE(O12,CHAR(160),""))),0),2)=0,
"",
ROUND(IFERROR(VALUE(TRIM(SUBSTITUTE(AG12,CHAR(160),""))),0),2)=
ROUND(IFERROR(VALUE(TRIM(SUBSTITUTE(O12,CHAR(160),""))),0),2),
"OK",
ROUND(IFERROR(VALUE(TRIM(SUBSTITUTE(AG12,CHAR(160),""))),0),2)=0,
"Attention : Montant présenté entièrement rejeté.",
ROUND(IFERROR(VALUE(TRIM(SUBSTITUTE(AG12,CHAR(160),""))),0),2)&lt;
ROUND(IFERROR(VALUE(TRIM(SUBSTITUTE(O12,CHAR(160),""))),0),2),
"Attention : Montant présenté partiellement rejeté.",
TRUE,""
))</f>
        <v/>
      </c>
      <c r="AJ12" s="251" t="str">
        <f t="shared" si="19"/>
        <v/>
      </c>
    </row>
    <row r="13" spans="1:36" ht="15" customHeight="1">
      <c r="A13" s="193">
        <v>9</v>
      </c>
      <c r="B13" s="268"/>
      <c r="C13" s="30"/>
      <c r="D13" s="7"/>
      <c r="E13" s="12"/>
      <c r="F13" s="7"/>
      <c r="G13" s="13"/>
      <c r="H13" s="7"/>
      <c r="I13" s="10"/>
      <c r="J13" s="14"/>
      <c r="K13" s="10"/>
      <c r="L13" s="10"/>
      <c r="M13" s="851" t="str">
        <f t="shared" si="0"/>
        <v/>
      </c>
      <c r="N13" s="15"/>
      <c r="O13" s="280" t="str">
        <f t="shared" si="1"/>
        <v/>
      </c>
      <c r="P13" s="7"/>
      <c r="Q13" s="192"/>
      <c r="R13" s="190" t="str">
        <f t="shared" si="7"/>
        <v/>
      </c>
      <c r="S13" s="154" t="str">
        <f t="shared" si="8"/>
        <v/>
      </c>
      <c r="T13" s="154" t="str">
        <f t="shared" si="9"/>
        <v/>
      </c>
      <c r="U13" s="154" t="str">
        <f t="shared" si="10"/>
        <v/>
      </c>
      <c r="V13" s="154" t="str">
        <f t="shared" si="11"/>
        <v/>
      </c>
      <c r="W13" s="110" t="str">
        <f t="shared" si="12"/>
        <v/>
      </c>
      <c r="X13" s="154" t="str">
        <f t="shared" si="13"/>
        <v/>
      </c>
      <c r="Y13" s="111" t="str">
        <f t="shared" si="14"/>
        <v/>
      </c>
      <c r="Z13" s="154" t="str">
        <f t="shared" si="15"/>
        <v/>
      </c>
      <c r="AA13" s="111" t="str">
        <f t="shared" si="16"/>
        <v/>
      </c>
      <c r="AB13" s="111" t="str">
        <f t="shared" si="3"/>
        <v/>
      </c>
      <c r="AC13" s="851" t="str">
        <f t="shared" si="17"/>
        <v/>
      </c>
      <c r="AD13" s="32" t="str">
        <f t="shared" si="4"/>
        <v/>
      </c>
      <c r="AE13" s="154" t="str">
        <f t="shared" si="5"/>
        <v/>
      </c>
      <c r="AF13" s="7"/>
      <c r="AG13" s="280" t="str">
        <f t="shared" si="18"/>
        <v/>
      </c>
      <c r="AH13" s="603"/>
      <c r="AI13" s="252" t="str" cm="1">
        <f t="array" ref="AI13">IF(OR(AG13="",O13=""),"",_xlfn.IFS(
ROUND(IFERROR(VALUE(TRIM(SUBSTITUTE(AG13,CHAR(160),""))),0),2)&gt;
ROUND(IFERROR(VALUE(TRIM(SUBSTITUTE(O13,CHAR(160),""))),0),2),
"KO : Le montant retenu est supérieur au montant présenté. Merci de revoir la ligne de contributions ou plafonner son montant.",
ROUND(IFERROR(VALUE(TRIM(SUBSTITUTE(O13,CHAR(160),""))),0),2)=0,
"",
ROUND(IFERROR(VALUE(TRIM(SUBSTITUTE(AG13,CHAR(160),""))),0),2)=
ROUND(IFERROR(VALUE(TRIM(SUBSTITUTE(O13,CHAR(160),""))),0),2),
"OK",
ROUND(IFERROR(VALUE(TRIM(SUBSTITUTE(AG13,CHAR(160),""))),0),2)=0,
"Attention : Montant présenté entièrement rejeté.",
ROUND(IFERROR(VALUE(TRIM(SUBSTITUTE(AG13,CHAR(160),""))),0),2)&lt;
ROUND(IFERROR(VALUE(TRIM(SUBSTITUTE(O13,CHAR(160),""))),0),2),
"Attention : Montant présenté partiellement rejeté.",
TRUE,""
))</f>
        <v/>
      </c>
      <c r="AJ13" s="251" t="str">
        <f t="shared" si="19"/>
        <v/>
      </c>
    </row>
    <row r="14" spans="1:36" ht="15" customHeight="1">
      <c r="A14" s="193">
        <v>10</v>
      </c>
      <c r="B14" s="268"/>
      <c r="C14" s="7"/>
      <c r="D14" s="7"/>
      <c r="E14" s="12"/>
      <c r="F14" s="7"/>
      <c r="G14" s="13"/>
      <c r="H14" s="7"/>
      <c r="I14" s="10"/>
      <c r="J14" s="14"/>
      <c r="K14" s="10"/>
      <c r="L14" s="10"/>
      <c r="M14" s="851" t="str">
        <f t="shared" si="0"/>
        <v/>
      </c>
      <c r="N14" s="15"/>
      <c r="O14" s="280" t="str">
        <f t="shared" si="1"/>
        <v/>
      </c>
      <c r="P14" s="7"/>
      <c r="Q14" s="192"/>
      <c r="R14" s="190" t="str">
        <f t="shared" si="7"/>
        <v/>
      </c>
      <c r="S14" s="154" t="str">
        <f t="shared" si="8"/>
        <v/>
      </c>
      <c r="T14" s="154" t="str">
        <f t="shared" si="9"/>
        <v/>
      </c>
      <c r="U14" s="154" t="str">
        <f t="shared" si="10"/>
        <v/>
      </c>
      <c r="V14" s="154" t="str">
        <f t="shared" si="11"/>
        <v/>
      </c>
      <c r="W14" s="110" t="str">
        <f t="shared" si="12"/>
        <v/>
      </c>
      <c r="X14" s="154" t="str">
        <f t="shared" si="13"/>
        <v/>
      </c>
      <c r="Y14" s="111" t="str">
        <f t="shared" si="14"/>
        <v/>
      </c>
      <c r="Z14" s="154" t="str">
        <f t="shared" si="15"/>
        <v/>
      </c>
      <c r="AA14" s="111" t="str">
        <f t="shared" si="16"/>
        <v/>
      </c>
      <c r="AB14" s="111" t="str">
        <f t="shared" si="3"/>
        <v/>
      </c>
      <c r="AC14" s="851" t="str">
        <f t="shared" si="17"/>
        <v/>
      </c>
      <c r="AD14" s="32" t="str">
        <f t="shared" si="4"/>
        <v/>
      </c>
      <c r="AE14" s="154" t="str">
        <f t="shared" si="5"/>
        <v/>
      </c>
      <c r="AF14" s="7"/>
      <c r="AG14" s="280" t="str">
        <f t="shared" si="18"/>
        <v/>
      </c>
      <c r="AH14" s="603"/>
      <c r="AI14" s="252" t="str" cm="1">
        <f t="array" ref="AI14">IF(OR(AG14="",O14=""),"",_xlfn.IFS(
ROUND(IFERROR(VALUE(TRIM(SUBSTITUTE(AG14,CHAR(160),""))),0),2)&gt;
ROUND(IFERROR(VALUE(TRIM(SUBSTITUTE(O14,CHAR(160),""))),0),2),
"KO : Le montant retenu est supérieur au montant présenté. Merci de revoir la ligne de contributions ou plafonner son montant.",
ROUND(IFERROR(VALUE(TRIM(SUBSTITUTE(O14,CHAR(160),""))),0),2)=0,
"",
ROUND(IFERROR(VALUE(TRIM(SUBSTITUTE(AG14,CHAR(160),""))),0),2)=
ROUND(IFERROR(VALUE(TRIM(SUBSTITUTE(O14,CHAR(160),""))),0),2),
"OK",
ROUND(IFERROR(VALUE(TRIM(SUBSTITUTE(AG14,CHAR(160),""))),0),2)=0,
"Attention : Montant présenté entièrement rejeté.",
ROUND(IFERROR(VALUE(TRIM(SUBSTITUTE(AG14,CHAR(160),""))),0),2)&lt;
ROUND(IFERROR(VALUE(TRIM(SUBSTITUTE(O14,CHAR(160),""))),0),2),
"Attention : Montant présenté partiellement rejeté.",
TRUE,""
))</f>
        <v/>
      </c>
      <c r="AJ14" s="251" t="str">
        <f t="shared" si="19"/>
        <v/>
      </c>
    </row>
    <row r="15" spans="1:36" ht="15" customHeight="1">
      <c r="A15" s="193">
        <v>11</v>
      </c>
      <c r="B15" s="268"/>
      <c r="C15" s="7"/>
      <c r="D15" s="7"/>
      <c r="E15" s="12"/>
      <c r="F15" s="7"/>
      <c r="G15" s="13"/>
      <c r="H15" s="7"/>
      <c r="I15" s="10"/>
      <c r="J15" s="14"/>
      <c r="K15" s="10"/>
      <c r="L15" s="10"/>
      <c r="M15" s="851" t="str">
        <f t="shared" si="0"/>
        <v/>
      </c>
      <c r="N15" s="15"/>
      <c r="O15" s="280" t="str">
        <f t="shared" si="1"/>
        <v/>
      </c>
      <c r="P15" s="7"/>
      <c r="Q15" s="192"/>
      <c r="R15" s="190" t="str">
        <f t="shared" si="7"/>
        <v/>
      </c>
      <c r="S15" s="154" t="str">
        <f t="shared" si="8"/>
        <v/>
      </c>
      <c r="T15" s="154" t="str">
        <f t="shared" si="9"/>
        <v/>
      </c>
      <c r="U15" s="154" t="str">
        <f t="shared" si="10"/>
        <v/>
      </c>
      <c r="V15" s="154" t="str">
        <f t="shared" si="11"/>
        <v/>
      </c>
      <c r="W15" s="110" t="str">
        <f t="shared" si="12"/>
        <v/>
      </c>
      <c r="X15" s="154" t="str">
        <f t="shared" si="13"/>
        <v/>
      </c>
      <c r="Y15" s="111" t="str">
        <f t="shared" si="14"/>
        <v/>
      </c>
      <c r="Z15" s="154" t="str">
        <f t="shared" si="15"/>
        <v/>
      </c>
      <c r="AA15" s="111" t="str">
        <f t="shared" si="16"/>
        <v/>
      </c>
      <c r="AB15" s="111" t="str">
        <f t="shared" si="3"/>
        <v/>
      </c>
      <c r="AC15" s="851" t="str">
        <f t="shared" si="17"/>
        <v/>
      </c>
      <c r="AD15" s="32" t="str">
        <f t="shared" si="4"/>
        <v/>
      </c>
      <c r="AE15" s="154" t="str">
        <f t="shared" si="5"/>
        <v/>
      </c>
      <c r="AF15" s="7"/>
      <c r="AG15" s="280" t="str">
        <f t="shared" si="18"/>
        <v/>
      </c>
      <c r="AH15" s="603"/>
      <c r="AI15" s="252" t="str" cm="1">
        <f t="array" ref="AI15">IF(OR(AG15="",O15=""),"",_xlfn.IFS(
ROUND(IFERROR(VALUE(TRIM(SUBSTITUTE(AG15,CHAR(160),""))),0),2)&gt;
ROUND(IFERROR(VALUE(TRIM(SUBSTITUTE(O15,CHAR(160),""))),0),2),
"KO : Le montant retenu est supérieur au montant présenté. Merci de revoir la ligne de contributions ou plafonner son montant.",
ROUND(IFERROR(VALUE(TRIM(SUBSTITUTE(O15,CHAR(160),""))),0),2)=0,
"",
ROUND(IFERROR(VALUE(TRIM(SUBSTITUTE(AG15,CHAR(160),""))),0),2)=
ROUND(IFERROR(VALUE(TRIM(SUBSTITUTE(O15,CHAR(160),""))),0),2),
"OK",
ROUND(IFERROR(VALUE(TRIM(SUBSTITUTE(AG15,CHAR(160),""))),0),2)=0,
"Attention : Montant présenté entièrement rejeté.",
ROUND(IFERROR(VALUE(TRIM(SUBSTITUTE(AG15,CHAR(160),""))),0),2)&lt;
ROUND(IFERROR(VALUE(TRIM(SUBSTITUTE(O15,CHAR(160),""))),0),2),
"Attention : Montant présenté partiellement rejeté.",
TRUE,""
))</f>
        <v/>
      </c>
      <c r="AJ15" s="251" t="str">
        <f t="shared" si="19"/>
        <v/>
      </c>
    </row>
    <row r="16" spans="1:36" ht="15" customHeight="1">
      <c r="A16" s="193">
        <v>12</v>
      </c>
      <c r="B16" s="268"/>
      <c r="C16" s="7"/>
      <c r="D16" s="7"/>
      <c r="E16" s="12"/>
      <c r="F16" s="7"/>
      <c r="G16" s="13"/>
      <c r="H16" s="7"/>
      <c r="I16" s="10"/>
      <c r="J16" s="14"/>
      <c r="K16" s="10"/>
      <c r="L16" s="10"/>
      <c r="M16" s="851" t="str">
        <f t="shared" si="0"/>
        <v/>
      </c>
      <c r="N16" s="15"/>
      <c r="O16" s="280" t="str">
        <f t="shared" si="1"/>
        <v/>
      </c>
      <c r="P16" s="7"/>
      <c r="Q16" s="192"/>
      <c r="R16" s="190" t="str">
        <f t="shared" si="7"/>
        <v/>
      </c>
      <c r="S16" s="154" t="str">
        <f t="shared" si="8"/>
        <v/>
      </c>
      <c r="T16" s="154" t="str">
        <f t="shared" si="9"/>
        <v/>
      </c>
      <c r="U16" s="154" t="str">
        <f t="shared" si="10"/>
        <v/>
      </c>
      <c r="V16" s="154" t="str">
        <f t="shared" si="11"/>
        <v/>
      </c>
      <c r="W16" s="110" t="str">
        <f t="shared" si="12"/>
        <v/>
      </c>
      <c r="X16" s="154" t="str">
        <f t="shared" si="13"/>
        <v/>
      </c>
      <c r="Y16" s="111" t="str">
        <f t="shared" si="14"/>
        <v/>
      </c>
      <c r="Z16" s="154" t="str">
        <f t="shared" si="15"/>
        <v/>
      </c>
      <c r="AA16" s="111" t="str">
        <f t="shared" si="16"/>
        <v/>
      </c>
      <c r="AB16" s="111" t="str">
        <f t="shared" si="3"/>
        <v/>
      </c>
      <c r="AC16" s="851" t="str">
        <f t="shared" si="17"/>
        <v/>
      </c>
      <c r="AD16" s="32" t="str">
        <f t="shared" si="4"/>
        <v/>
      </c>
      <c r="AE16" s="154" t="str">
        <f t="shared" si="5"/>
        <v/>
      </c>
      <c r="AF16" s="7"/>
      <c r="AG16" s="280" t="str">
        <f t="shared" si="18"/>
        <v/>
      </c>
      <c r="AH16" s="603"/>
      <c r="AI16" s="252" t="str" cm="1">
        <f t="array" ref="AI16">IF(OR(AG16="",O16=""),"",_xlfn.IFS(
ROUND(IFERROR(VALUE(TRIM(SUBSTITUTE(AG16,CHAR(160),""))),0),2)&gt;
ROUND(IFERROR(VALUE(TRIM(SUBSTITUTE(O16,CHAR(160),""))),0),2),
"KO : Le montant retenu est supérieur au montant présenté. Merci de revoir la ligne de contributions ou plafonner son montant.",
ROUND(IFERROR(VALUE(TRIM(SUBSTITUTE(O16,CHAR(160),""))),0),2)=0,
"",
ROUND(IFERROR(VALUE(TRIM(SUBSTITUTE(AG16,CHAR(160),""))),0),2)=
ROUND(IFERROR(VALUE(TRIM(SUBSTITUTE(O16,CHAR(160),""))),0),2),
"OK",
ROUND(IFERROR(VALUE(TRIM(SUBSTITUTE(AG16,CHAR(160),""))),0),2)=0,
"Attention : Montant présenté entièrement rejeté.",
ROUND(IFERROR(VALUE(TRIM(SUBSTITUTE(AG16,CHAR(160),""))),0),2)&lt;
ROUND(IFERROR(VALUE(TRIM(SUBSTITUTE(O16,CHAR(160),""))),0),2),
"Attention : Montant présenté partiellement rejeté.",
TRUE,""
))</f>
        <v/>
      </c>
      <c r="AJ16" s="251" t="str">
        <f t="shared" si="19"/>
        <v/>
      </c>
    </row>
    <row r="17" spans="1:36" ht="15" customHeight="1">
      <c r="A17" s="193">
        <v>13</v>
      </c>
      <c r="B17" s="268"/>
      <c r="C17" s="7"/>
      <c r="D17" s="7"/>
      <c r="E17" s="12"/>
      <c r="F17" s="7"/>
      <c r="G17" s="13"/>
      <c r="H17" s="7"/>
      <c r="I17" s="10"/>
      <c r="J17" s="14"/>
      <c r="K17" s="10"/>
      <c r="L17" s="10"/>
      <c r="M17" s="851" t="str">
        <f t="shared" si="0"/>
        <v/>
      </c>
      <c r="N17" s="15"/>
      <c r="O17" s="280" t="str">
        <f t="shared" si="1"/>
        <v/>
      </c>
      <c r="P17" s="7"/>
      <c r="Q17" s="192"/>
      <c r="R17" s="190" t="str">
        <f t="shared" si="7"/>
        <v/>
      </c>
      <c r="S17" s="154" t="str">
        <f t="shared" si="8"/>
        <v/>
      </c>
      <c r="T17" s="154" t="str">
        <f t="shared" si="9"/>
        <v/>
      </c>
      <c r="U17" s="154" t="str">
        <f t="shared" si="10"/>
        <v/>
      </c>
      <c r="V17" s="154" t="str">
        <f t="shared" si="11"/>
        <v/>
      </c>
      <c r="W17" s="110" t="str">
        <f t="shared" si="12"/>
        <v/>
      </c>
      <c r="X17" s="154" t="str">
        <f t="shared" si="13"/>
        <v/>
      </c>
      <c r="Y17" s="111" t="str">
        <f t="shared" si="14"/>
        <v/>
      </c>
      <c r="Z17" s="154" t="str">
        <f t="shared" si="15"/>
        <v/>
      </c>
      <c r="AA17" s="111" t="str">
        <f t="shared" si="16"/>
        <v/>
      </c>
      <c r="AB17" s="111" t="str">
        <f t="shared" si="3"/>
        <v/>
      </c>
      <c r="AC17" s="851" t="str">
        <f t="shared" si="17"/>
        <v/>
      </c>
      <c r="AD17" s="32" t="str">
        <f t="shared" si="4"/>
        <v/>
      </c>
      <c r="AE17" s="154" t="str">
        <f t="shared" si="5"/>
        <v/>
      </c>
      <c r="AF17" s="7"/>
      <c r="AG17" s="280" t="str">
        <f t="shared" si="18"/>
        <v/>
      </c>
      <c r="AH17" s="603"/>
      <c r="AI17" s="252" t="str" cm="1">
        <f t="array" ref="AI17">IF(OR(AG17="",O17=""),"",_xlfn.IFS(
ROUND(IFERROR(VALUE(TRIM(SUBSTITUTE(AG17,CHAR(160),""))),0),2)&gt;
ROUND(IFERROR(VALUE(TRIM(SUBSTITUTE(O17,CHAR(160),""))),0),2),
"KO : Le montant retenu est supérieur au montant présenté. Merci de revoir la ligne de contributions ou plafonner son montant.",
ROUND(IFERROR(VALUE(TRIM(SUBSTITUTE(O17,CHAR(160),""))),0),2)=0,
"",
ROUND(IFERROR(VALUE(TRIM(SUBSTITUTE(AG17,CHAR(160),""))),0),2)=
ROUND(IFERROR(VALUE(TRIM(SUBSTITUTE(O17,CHAR(160),""))),0),2),
"OK",
ROUND(IFERROR(VALUE(TRIM(SUBSTITUTE(AG17,CHAR(160),""))),0),2)=0,
"Attention : Montant présenté entièrement rejeté.",
ROUND(IFERROR(VALUE(TRIM(SUBSTITUTE(AG17,CHAR(160),""))),0),2)&lt;
ROUND(IFERROR(VALUE(TRIM(SUBSTITUTE(O17,CHAR(160),""))),0),2),
"Attention : Montant présenté partiellement rejeté.",
TRUE,""
))</f>
        <v/>
      </c>
      <c r="AJ17" s="251" t="str">
        <f t="shared" si="19"/>
        <v/>
      </c>
    </row>
    <row r="18" spans="1:36" ht="15" customHeight="1">
      <c r="A18" s="193">
        <v>14</v>
      </c>
      <c r="B18" s="268"/>
      <c r="C18" s="7"/>
      <c r="D18" s="7"/>
      <c r="E18" s="12"/>
      <c r="F18" s="7"/>
      <c r="G18" s="13"/>
      <c r="H18" s="7"/>
      <c r="I18" s="10"/>
      <c r="J18" s="14"/>
      <c r="K18" s="10"/>
      <c r="L18" s="10"/>
      <c r="M18" s="851" t="str">
        <f t="shared" si="0"/>
        <v/>
      </c>
      <c r="N18" s="15"/>
      <c r="O18" s="280" t="str">
        <f t="shared" si="1"/>
        <v/>
      </c>
      <c r="P18" s="7"/>
      <c r="Q18" s="192"/>
      <c r="R18" s="190" t="str">
        <f t="shared" si="7"/>
        <v/>
      </c>
      <c r="S18" s="154" t="str">
        <f t="shared" si="8"/>
        <v/>
      </c>
      <c r="T18" s="154" t="str">
        <f t="shared" si="9"/>
        <v/>
      </c>
      <c r="U18" s="154" t="str">
        <f t="shared" si="10"/>
        <v/>
      </c>
      <c r="V18" s="154" t="str">
        <f t="shared" si="11"/>
        <v/>
      </c>
      <c r="W18" s="110" t="str">
        <f t="shared" si="12"/>
        <v/>
      </c>
      <c r="X18" s="154" t="str">
        <f t="shared" si="13"/>
        <v/>
      </c>
      <c r="Y18" s="111" t="str">
        <f t="shared" si="14"/>
        <v/>
      </c>
      <c r="Z18" s="154" t="str">
        <f t="shared" si="15"/>
        <v/>
      </c>
      <c r="AA18" s="111" t="str">
        <f t="shared" si="16"/>
        <v/>
      </c>
      <c r="AB18" s="111" t="str">
        <f t="shared" si="3"/>
        <v/>
      </c>
      <c r="AC18" s="851" t="str">
        <f t="shared" si="17"/>
        <v/>
      </c>
      <c r="AD18" s="32" t="str">
        <f t="shared" si="4"/>
        <v/>
      </c>
      <c r="AE18" s="154" t="str">
        <f t="shared" si="5"/>
        <v/>
      </c>
      <c r="AF18" s="7"/>
      <c r="AG18" s="280" t="str">
        <f t="shared" si="18"/>
        <v/>
      </c>
      <c r="AH18" s="603"/>
      <c r="AI18" s="252" t="str" cm="1">
        <f t="array" ref="AI18">IF(OR(AG18="",O18=""),"",_xlfn.IFS(
ROUND(IFERROR(VALUE(TRIM(SUBSTITUTE(AG18,CHAR(160),""))),0),2)&gt;
ROUND(IFERROR(VALUE(TRIM(SUBSTITUTE(O18,CHAR(160),""))),0),2),
"KO : Le montant retenu est supérieur au montant présenté. Merci de revoir la ligne de contributions ou plafonner son montant.",
ROUND(IFERROR(VALUE(TRIM(SUBSTITUTE(O18,CHAR(160),""))),0),2)=0,
"",
ROUND(IFERROR(VALUE(TRIM(SUBSTITUTE(AG18,CHAR(160),""))),0),2)=
ROUND(IFERROR(VALUE(TRIM(SUBSTITUTE(O18,CHAR(160),""))),0),2),
"OK",
ROUND(IFERROR(VALUE(TRIM(SUBSTITUTE(AG18,CHAR(160),""))),0),2)=0,
"Attention : Montant présenté entièrement rejeté.",
ROUND(IFERROR(VALUE(TRIM(SUBSTITUTE(AG18,CHAR(160),""))),0),2)&lt;
ROUND(IFERROR(VALUE(TRIM(SUBSTITUTE(O18,CHAR(160),""))),0),2),
"Attention : Montant présenté partiellement rejeté.",
TRUE,""
))</f>
        <v/>
      </c>
      <c r="AJ18" s="251" t="str">
        <f t="shared" si="19"/>
        <v/>
      </c>
    </row>
    <row r="19" spans="1:36" ht="15" customHeight="1">
      <c r="A19" s="193">
        <v>15</v>
      </c>
      <c r="B19" s="268"/>
      <c r="C19" s="7"/>
      <c r="D19" s="7"/>
      <c r="E19" s="12"/>
      <c r="F19" s="7"/>
      <c r="G19" s="13"/>
      <c r="H19" s="7"/>
      <c r="I19" s="10"/>
      <c r="J19" s="14"/>
      <c r="K19" s="10"/>
      <c r="L19" s="10"/>
      <c r="M19" s="851" t="str">
        <f t="shared" si="0"/>
        <v/>
      </c>
      <c r="N19" s="15"/>
      <c r="O19" s="280" t="str">
        <f t="shared" si="1"/>
        <v/>
      </c>
      <c r="P19" s="7"/>
      <c r="Q19" s="192"/>
      <c r="R19" s="190" t="str">
        <f t="shared" si="7"/>
        <v/>
      </c>
      <c r="S19" s="154" t="str">
        <f t="shared" si="8"/>
        <v/>
      </c>
      <c r="T19" s="154" t="str">
        <f t="shared" si="9"/>
        <v/>
      </c>
      <c r="U19" s="154" t="str">
        <f t="shared" si="10"/>
        <v/>
      </c>
      <c r="V19" s="154" t="str">
        <f t="shared" si="11"/>
        <v/>
      </c>
      <c r="W19" s="110" t="str">
        <f t="shared" si="12"/>
        <v/>
      </c>
      <c r="X19" s="154" t="str">
        <f t="shared" si="13"/>
        <v/>
      </c>
      <c r="Y19" s="111" t="str">
        <f t="shared" si="14"/>
        <v/>
      </c>
      <c r="Z19" s="154" t="str">
        <f t="shared" si="15"/>
        <v/>
      </c>
      <c r="AA19" s="111" t="str">
        <f t="shared" si="16"/>
        <v/>
      </c>
      <c r="AB19" s="111" t="str">
        <f t="shared" si="3"/>
        <v/>
      </c>
      <c r="AC19" s="851" t="str">
        <f t="shared" si="17"/>
        <v/>
      </c>
      <c r="AD19" s="32" t="str">
        <f t="shared" si="4"/>
        <v/>
      </c>
      <c r="AE19" s="154" t="str">
        <f t="shared" si="5"/>
        <v/>
      </c>
      <c r="AF19" s="7"/>
      <c r="AG19" s="280" t="str">
        <f t="shared" si="18"/>
        <v/>
      </c>
      <c r="AH19" s="603"/>
      <c r="AI19" s="252" t="str" cm="1">
        <f t="array" ref="AI19">IF(OR(AG19="",O19=""),"",_xlfn.IFS(
ROUND(IFERROR(VALUE(TRIM(SUBSTITUTE(AG19,CHAR(160),""))),0),2)&gt;
ROUND(IFERROR(VALUE(TRIM(SUBSTITUTE(O19,CHAR(160),""))),0),2),
"KO : Le montant retenu est supérieur au montant présenté. Merci de revoir la ligne de contributions ou plafonner son montant.",
ROUND(IFERROR(VALUE(TRIM(SUBSTITUTE(O19,CHAR(160),""))),0),2)=0,
"",
ROUND(IFERROR(VALUE(TRIM(SUBSTITUTE(AG19,CHAR(160),""))),0),2)=
ROUND(IFERROR(VALUE(TRIM(SUBSTITUTE(O19,CHAR(160),""))),0),2),
"OK",
ROUND(IFERROR(VALUE(TRIM(SUBSTITUTE(AG19,CHAR(160),""))),0),2)=0,
"Attention : Montant présenté entièrement rejeté.",
ROUND(IFERROR(VALUE(TRIM(SUBSTITUTE(AG19,CHAR(160),""))),0),2)&lt;
ROUND(IFERROR(VALUE(TRIM(SUBSTITUTE(O19,CHAR(160),""))),0),2),
"Attention : Montant présenté partiellement rejeté.",
TRUE,""
))</f>
        <v/>
      </c>
      <c r="AJ19" s="251" t="str">
        <f t="shared" si="19"/>
        <v/>
      </c>
    </row>
    <row r="20" spans="1:36" ht="15" customHeight="1">
      <c r="A20" s="193">
        <v>16</v>
      </c>
      <c r="B20" s="268"/>
      <c r="C20" s="7"/>
      <c r="D20" s="7"/>
      <c r="E20" s="12"/>
      <c r="F20" s="7"/>
      <c r="G20" s="13"/>
      <c r="H20" s="7"/>
      <c r="I20" s="10"/>
      <c r="J20" s="14"/>
      <c r="K20" s="10"/>
      <c r="L20" s="10"/>
      <c r="M20" s="851" t="str">
        <f t="shared" si="0"/>
        <v/>
      </c>
      <c r="N20" s="15"/>
      <c r="O20" s="280" t="str">
        <f t="shared" si="1"/>
        <v/>
      </c>
      <c r="P20" s="7"/>
      <c r="Q20" s="192"/>
      <c r="R20" s="190" t="str">
        <f t="shared" si="7"/>
        <v/>
      </c>
      <c r="S20" s="154" t="str">
        <f t="shared" si="8"/>
        <v/>
      </c>
      <c r="T20" s="154" t="str">
        <f t="shared" si="9"/>
        <v/>
      </c>
      <c r="U20" s="154" t="str">
        <f t="shared" si="10"/>
        <v/>
      </c>
      <c r="V20" s="154" t="str">
        <f t="shared" si="11"/>
        <v/>
      </c>
      <c r="W20" s="110" t="str">
        <f t="shared" si="12"/>
        <v/>
      </c>
      <c r="X20" s="154" t="str">
        <f t="shared" si="13"/>
        <v/>
      </c>
      <c r="Y20" s="111" t="str">
        <f t="shared" si="14"/>
        <v/>
      </c>
      <c r="Z20" s="154" t="str">
        <f t="shared" si="15"/>
        <v/>
      </c>
      <c r="AA20" s="111" t="str">
        <f t="shared" si="16"/>
        <v/>
      </c>
      <c r="AB20" s="111" t="str">
        <f t="shared" si="3"/>
        <v/>
      </c>
      <c r="AC20" s="851" t="str">
        <f t="shared" si="17"/>
        <v/>
      </c>
      <c r="AD20" s="32" t="str">
        <f t="shared" si="4"/>
        <v/>
      </c>
      <c r="AE20" s="154" t="str">
        <f t="shared" si="5"/>
        <v/>
      </c>
      <c r="AF20" s="7"/>
      <c r="AG20" s="280" t="str">
        <f t="shared" si="18"/>
        <v/>
      </c>
      <c r="AH20" s="603"/>
      <c r="AI20" s="252" t="str" cm="1">
        <f t="array" ref="AI20">IF(OR(AG20="",O20=""),"",_xlfn.IFS(
ROUND(IFERROR(VALUE(TRIM(SUBSTITUTE(AG20,CHAR(160),""))),0),2)&gt;
ROUND(IFERROR(VALUE(TRIM(SUBSTITUTE(O20,CHAR(160),""))),0),2),
"KO : Le montant retenu est supérieur au montant présenté. Merci de revoir la ligne de contributions ou plafonner son montant.",
ROUND(IFERROR(VALUE(TRIM(SUBSTITUTE(O20,CHAR(160),""))),0),2)=0,
"",
ROUND(IFERROR(VALUE(TRIM(SUBSTITUTE(AG20,CHAR(160),""))),0),2)=
ROUND(IFERROR(VALUE(TRIM(SUBSTITUTE(O20,CHAR(160),""))),0),2),
"OK",
ROUND(IFERROR(VALUE(TRIM(SUBSTITUTE(AG20,CHAR(160),""))),0),2)=0,
"Attention : Montant présenté entièrement rejeté.",
ROUND(IFERROR(VALUE(TRIM(SUBSTITUTE(AG20,CHAR(160),""))),0),2)&lt;
ROUND(IFERROR(VALUE(TRIM(SUBSTITUTE(O20,CHAR(160),""))),0),2),
"Attention : Montant présenté partiellement rejeté.",
TRUE,""
))</f>
        <v/>
      </c>
      <c r="AJ20" s="251" t="str">
        <f t="shared" si="19"/>
        <v/>
      </c>
    </row>
    <row r="21" spans="1:36" ht="15" customHeight="1">
      <c r="A21" s="193">
        <v>17</v>
      </c>
      <c r="B21" s="268"/>
      <c r="C21" s="7"/>
      <c r="D21" s="7"/>
      <c r="E21" s="12"/>
      <c r="F21" s="7"/>
      <c r="G21" s="13"/>
      <c r="H21" s="7"/>
      <c r="I21" s="10"/>
      <c r="J21" s="14"/>
      <c r="K21" s="10"/>
      <c r="L21" s="10"/>
      <c r="M21" s="851" t="str">
        <f t="shared" si="0"/>
        <v/>
      </c>
      <c r="N21" s="15"/>
      <c r="O21" s="280" t="str">
        <f t="shared" si="1"/>
        <v/>
      </c>
      <c r="P21" s="7"/>
      <c r="Q21" s="192"/>
      <c r="R21" s="190" t="str">
        <f t="shared" si="7"/>
        <v/>
      </c>
      <c r="S21" s="154" t="str">
        <f t="shared" si="8"/>
        <v/>
      </c>
      <c r="T21" s="154" t="str">
        <f t="shared" si="9"/>
        <v/>
      </c>
      <c r="U21" s="154" t="str">
        <f t="shared" si="10"/>
        <v/>
      </c>
      <c r="V21" s="154" t="str">
        <f t="shared" si="11"/>
        <v/>
      </c>
      <c r="W21" s="110" t="str">
        <f t="shared" si="12"/>
        <v/>
      </c>
      <c r="X21" s="154" t="str">
        <f t="shared" si="13"/>
        <v/>
      </c>
      <c r="Y21" s="111" t="str">
        <f t="shared" si="14"/>
        <v/>
      </c>
      <c r="Z21" s="154" t="str">
        <f t="shared" si="15"/>
        <v/>
      </c>
      <c r="AA21" s="111" t="str">
        <f t="shared" si="16"/>
        <v/>
      </c>
      <c r="AB21" s="111" t="str">
        <f t="shared" si="3"/>
        <v/>
      </c>
      <c r="AC21" s="851" t="str">
        <f t="shared" si="17"/>
        <v/>
      </c>
      <c r="AD21" s="32" t="str">
        <f t="shared" si="4"/>
        <v/>
      </c>
      <c r="AE21" s="154" t="str">
        <f t="shared" si="5"/>
        <v/>
      </c>
      <c r="AF21" s="7"/>
      <c r="AG21" s="280" t="str">
        <f t="shared" si="18"/>
        <v/>
      </c>
      <c r="AH21" s="603"/>
      <c r="AI21" s="252" t="str" cm="1">
        <f t="array" ref="AI21">IF(OR(AG21="",O21=""),"",_xlfn.IFS(
ROUND(IFERROR(VALUE(TRIM(SUBSTITUTE(AG21,CHAR(160),""))),0),2)&gt;
ROUND(IFERROR(VALUE(TRIM(SUBSTITUTE(O21,CHAR(160),""))),0),2),
"KO : Le montant retenu est supérieur au montant présenté. Merci de revoir la ligne de contributions ou plafonner son montant.",
ROUND(IFERROR(VALUE(TRIM(SUBSTITUTE(O21,CHAR(160),""))),0),2)=0,
"",
ROUND(IFERROR(VALUE(TRIM(SUBSTITUTE(AG21,CHAR(160),""))),0),2)=
ROUND(IFERROR(VALUE(TRIM(SUBSTITUTE(O21,CHAR(160),""))),0),2),
"OK",
ROUND(IFERROR(VALUE(TRIM(SUBSTITUTE(AG21,CHAR(160),""))),0),2)=0,
"Attention : Montant présenté entièrement rejeté.",
ROUND(IFERROR(VALUE(TRIM(SUBSTITUTE(AG21,CHAR(160),""))),0),2)&lt;
ROUND(IFERROR(VALUE(TRIM(SUBSTITUTE(O21,CHAR(160),""))),0),2),
"Attention : Montant présenté partiellement rejeté.",
TRUE,""
))</f>
        <v/>
      </c>
      <c r="AJ21" s="251" t="str">
        <f t="shared" si="19"/>
        <v/>
      </c>
    </row>
    <row r="22" spans="1:36" ht="15" customHeight="1">
      <c r="A22" s="193">
        <v>18</v>
      </c>
      <c r="B22" s="268"/>
      <c r="C22" s="7"/>
      <c r="D22" s="7"/>
      <c r="E22" s="12"/>
      <c r="F22" s="7"/>
      <c r="G22" s="13"/>
      <c r="H22" s="7"/>
      <c r="I22" s="10"/>
      <c r="J22" s="14"/>
      <c r="K22" s="10"/>
      <c r="L22" s="10"/>
      <c r="M22" s="851" t="str">
        <f t="shared" si="0"/>
        <v/>
      </c>
      <c r="N22" s="15"/>
      <c r="O22" s="280" t="str">
        <f t="shared" si="1"/>
        <v/>
      </c>
      <c r="P22" s="7"/>
      <c r="Q22" s="192"/>
      <c r="R22" s="190" t="str">
        <f t="shared" si="7"/>
        <v/>
      </c>
      <c r="S22" s="154" t="str">
        <f t="shared" si="8"/>
        <v/>
      </c>
      <c r="T22" s="154" t="str">
        <f t="shared" si="9"/>
        <v/>
      </c>
      <c r="U22" s="154" t="str">
        <f t="shared" si="10"/>
        <v/>
      </c>
      <c r="V22" s="154" t="str">
        <f t="shared" si="11"/>
        <v/>
      </c>
      <c r="W22" s="110" t="str">
        <f t="shared" si="12"/>
        <v/>
      </c>
      <c r="X22" s="154" t="str">
        <f t="shared" si="13"/>
        <v/>
      </c>
      <c r="Y22" s="111" t="str">
        <f t="shared" si="14"/>
        <v/>
      </c>
      <c r="Z22" s="154" t="str">
        <f t="shared" si="15"/>
        <v/>
      </c>
      <c r="AA22" s="111" t="str">
        <f t="shared" si="16"/>
        <v/>
      </c>
      <c r="AB22" s="111" t="str">
        <f t="shared" si="3"/>
        <v/>
      </c>
      <c r="AC22" s="851" t="str">
        <f t="shared" si="17"/>
        <v/>
      </c>
      <c r="AD22" s="32" t="str">
        <f t="shared" si="4"/>
        <v/>
      </c>
      <c r="AE22" s="154" t="str">
        <f t="shared" si="5"/>
        <v/>
      </c>
      <c r="AF22" s="7"/>
      <c r="AG22" s="280" t="str">
        <f t="shared" si="18"/>
        <v/>
      </c>
      <c r="AH22" s="603"/>
      <c r="AI22" s="252" t="str" cm="1">
        <f t="array" ref="AI22">IF(OR(AG22="",O22=""),"",_xlfn.IFS(
ROUND(IFERROR(VALUE(TRIM(SUBSTITUTE(AG22,CHAR(160),""))),0),2)&gt;
ROUND(IFERROR(VALUE(TRIM(SUBSTITUTE(O22,CHAR(160),""))),0),2),
"KO : Le montant retenu est supérieur au montant présenté. Merci de revoir la ligne de contributions ou plafonner son montant.",
ROUND(IFERROR(VALUE(TRIM(SUBSTITUTE(O22,CHAR(160),""))),0),2)=0,
"",
ROUND(IFERROR(VALUE(TRIM(SUBSTITUTE(AG22,CHAR(160),""))),0),2)=
ROUND(IFERROR(VALUE(TRIM(SUBSTITUTE(O22,CHAR(160),""))),0),2),
"OK",
ROUND(IFERROR(VALUE(TRIM(SUBSTITUTE(AG22,CHAR(160),""))),0),2)=0,
"Attention : Montant présenté entièrement rejeté.",
ROUND(IFERROR(VALUE(TRIM(SUBSTITUTE(AG22,CHAR(160),""))),0),2)&lt;
ROUND(IFERROR(VALUE(TRIM(SUBSTITUTE(O22,CHAR(160),""))),0),2),
"Attention : Montant présenté partiellement rejeté.",
TRUE,""
))</f>
        <v/>
      </c>
      <c r="AJ22" s="251" t="str">
        <f t="shared" si="19"/>
        <v/>
      </c>
    </row>
    <row r="23" spans="1:36" ht="15" customHeight="1">
      <c r="A23" s="193">
        <v>19</v>
      </c>
      <c r="B23" s="268"/>
      <c r="C23" s="7"/>
      <c r="D23" s="7"/>
      <c r="E23" s="12"/>
      <c r="F23" s="7"/>
      <c r="G23" s="13"/>
      <c r="H23" s="7"/>
      <c r="I23" s="10"/>
      <c r="J23" s="14"/>
      <c r="K23" s="10"/>
      <c r="L23" s="10"/>
      <c r="M23" s="851" t="str">
        <f t="shared" si="0"/>
        <v/>
      </c>
      <c r="N23" s="15"/>
      <c r="O23" s="280" t="str">
        <f t="shared" si="1"/>
        <v/>
      </c>
      <c r="P23" s="7"/>
      <c r="Q23" s="192"/>
      <c r="R23" s="190" t="str">
        <f t="shared" si="7"/>
        <v/>
      </c>
      <c r="S23" s="154" t="str">
        <f t="shared" si="8"/>
        <v/>
      </c>
      <c r="T23" s="154" t="str">
        <f t="shared" si="9"/>
        <v/>
      </c>
      <c r="U23" s="154" t="str">
        <f t="shared" si="10"/>
        <v/>
      </c>
      <c r="V23" s="154" t="str">
        <f t="shared" si="11"/>
        <v/>
      </c>
      <c r="W23" s="110" t="str">
        <f t="shared" si="12"/>
        <v/>
      </c>
      <c r="X23" s="154" t="str">
        <f t="shared" si="13"/>
        <v/>
      </c>
      <c r="Y23" s="111" t="str">
        <f t="shared" si="14"/>
        <v/>
      </c>
      <c r="Z23" s="154" t="str">
        <f t="shared" si="15"/>
        <v/>
      </c>
      <c r="AA23" s="111" t="str">
        <f t="shared" si="16"/>
        <v/>
      </c>
      <c r="AB23" s="111" t="str">
        <f t="shared" si="3"/>
        <v/>
      </c>
      <c r="AC23" s="851" t="str">
        <f t="shared" si="17"/>
        <v/>
      </c>
      <c r="AD23" s="32" t="str">
        <f t="shared" si="4"/>
        <v/>
      </c>
      <c r="AE23" s="154" t="str">
        <f t="shared" si="5"/>
        <v/>
      </c>
      <c r="AF23" s="7"/>
      <c r="AG23" s="280" t="str">
        <f t="shared" si="18"/>
        <v/>
      </c>
      <c r="AH23" s="603"/>
      <c r="AI23" s="252" t="str" cm="1">
        <f t="array" ref="AI23">IF(OR(AG23="",O23=""),"",_xlfn.IFS(
ROUND(IFERROR(VALUE(TRIM(SUBSTITUTE(AG23,CHAR(160),""))),0),2)&gt;
ROUND(IFERROR(VALUE(TRIM(SUBSTITUTE(O23,CHAR(160),""))),0),2),
"KO : Le montant retenu est supérieur au montant présenté. Merci de revoir la ligne de contributions ou plafonner son montant.",
ROUND(IFERROR(VALUE(TRIM(SUBSTITUTE(O23,CHAR(160),""))),0),2)=0,
"",
ROUND(IFERROR(VALUE(TRIM(SUBSTITUTE(AG23,CHAR(160),""))),0),2)=
ROUND(IFERROR(VALUE(TRIM(SUBSTITUTE(O23,CHAR(160),""))),0),2),
"OK",
ROUND(IFERROR(VALUE(TRIM(SUBSTITUTE(AG23,CHAR(160),""))),0),2)=0,
"Attention : Montant présenté entièrement rejeté.",
ROUND(IFERROR(VALUE(TRIM(SUBSTITUTE(AG23,CHAR(160),""))),0),2)&lt;
ROUND(IFERROR(VALUE(TRIM(SUBSTITUTE(O23,CHAR(160),""))),0),2),
"Attention : Montant présenté partiellement rejeté.",
TRUE,""
))</f>
        <v/>
      </c>
      <c r="AJ23" s="251" t="str">
        <f t="shared" si="19"/>
        <v/>
      </c>
    </row>
    <row r="24" spans="1:36" ht="15" customHeight="1">
      <c r="A24" s="193">
        <v>20</v>
      </c>
      <c r="B24" s="268"/>
      <c r="C24" s="7"/>
      <c r="D24" s="7"/>
      <c r="E24" s="12"/>
      <c r="F24" s="7"/>
      <c r="G24" s="13"/>
      <c r="H24" s="7"/>
      <c r="I24" s="10"/>
      <c r="J24" s="14"/>
      <c r="K24" s="10"/>
      <c r="L24" s="10"/>
      <c r="M24" s="851" t="str">
        <f t="shared" si="0"/>
        <v/>
      </c>
      <c r="N24" s="15"/>
      <c r="O24" s="280" t="str">
        <f t="shared" si="1"/>
        <v/>
      </c>
      <c r="P24" s="7"/>
      <c r="Q24" s="192"/>
      <c r="R24" s="190" t="str">
        <f t="shared" si="7"/>
        <v/>
      </c>
      <c r="S24" s="154" t="str">
        <f t="shared" si="8"/>
        <v/>
      </c>
      <c r="T24" s="154" t="str">
        <f t="shared" si="9"/>
        <v/>
      </c>
      <c r="U24" s="154" t="str">
        <f t="shared" si="10"/>
        <v/>
      </c>
      <c r="V24" s="154" t="str">
        <f t="shared" si="11"/>
        <v/>
      </c>
      <c r="W24" s="110" t="str">
        <f t="shared" si="12"/>
        <v/>
      </c>
      <c r="X24" s="154" t="str">
        <f t="shared" si="13"/>
        <v/>
      </c>
      <c r="Y24" s="111" t="str">
        <f t="shared" si="14"/>
        <v/>
      </c>
      <c r="Z24" s="154" t="str">
        <f t="shared" si="15"/>
        <v/>
      </c>
      <c r="AA24" s="111" t="str">
        <f t="shared" si="16"/>
        <v/>
      </c>
      <c r="AB24" s="111" t="str">
        <f t="shared" si="3"/>
        <v/>
      </c>
      <c r="AC24" s="851" t="str">
        <f t="shared" si="17"/>
        <v/>
      </c>
      <c r="AD24" s="32" t="str">
        <f t="shared" si="4"/>
        <v/>
      </c>
      <c r="AE24" s="154" t="str">
        <f t="shared" si="5"/>
        <v/>
      </c>
      <c r="AF24" s="7"/>
      <c r="AG24" s="280" t="str">
        <f t="shared" si="18"/>
        <v/>
      </c>
      <c r="AH24" s="603"/>
      <c r="AI24" s="252" t="str" cm="1">
        <f t="array" ref="AI24">IF(OR(AG24="",O24=""),"",_xlfn.IFS(
ROUND(IFERROR(VALUE(TRIM(SUBSTITUTE(AG24,CHAR(160),""))),0),2)&gt;
ROUND(IFERROR(VALUE(TRIM(SUBSTITUTE(O24,CHAR(160),""))),0),2),
"KO : Le montant retenu est supérieur au montant présenté. Merci de revoir la ligne de contributions ou plafonner son montant.",
ROUND(IFERROR(VALUE(TRIM(SUBSTITUTE(O24,CHAR(160),""))),0),2)=0,
"",
ROUND(IFERROR(VALUE(TRIM(SUBSTITUTE(AG24,CHAR(160),""))),0),2)=
ROUND(IFERROR(VALUE(TRIM(SUBSTITUTE(O24,CHAR(160),""))),0),2),
"OK",
ROUND(IFERROR(VALUE(TRIM(SUBSTITUTE(AG24,CHAR(160),""))),0),2)=0,
"Attention : Montant présenté entièrement rejeté.",
ROUND(IFERROR(VALUE(TRIM(SUBSTITUTE(AG24,CHAR(160),""))),0),2)&lt;
ROUND(IFERROR(VALUE(TRIM(SUBSTITUTE(O24,CHAR(160),""))),0),2),
"Attention : Montant présenté partiellement rejeté.",
TRUE,""
))</f>
        <v/>
      </c>
      <c r="AJ24" s="251" t="str">
        <f t="shared" si="19"/>
        <v/>
      </c>
    </row>
    <row r="25" spans="1:36" ht="15" customHeight="1">
      <c r="A25" s="193">
        <v>21</v>
      </c>
      <c r="B25" s="268"/>
      <c r="C25" s="7"/>
      <c r="D25" s="7"/>
      <c r="E25" s="12"/>
      <c r="F25" s="7"/>
      <c r="G25" s="13"/>
      <c r="H25" s="7"/>
      <c r="I25" s="10"/>
      <c r="J25" s="14"/>
      <c r="K25" s="10"/>
      <c r="L25" s="10"/>
      <c r="M25" s="851" t="str">
        <f t="shared" si="0"/>
        <v/>
      </c>
      <c r="N25" s="15"/>
      <c r="O25" s="280" t="str">
        <f t="shared" si="1"/>
        <v/>
      </c>
      <c r="P25" s="7"/>
      <c r="Q25" s="192"/>
      <c r="R25" s="190" t="str">
        <f t="shared" si="7"/>
        <v/>
      </c>
      <c r="S25" s="154" t="str">
        <f t="shared" si="8"/>
        <v/>
      </c>
      <c r="T25" s="154" t="str">
        <f t="shared" si="9"/>
        <v/>
      </c>
      <c r="U25" s="154" t="str">
        <f t="shared" si="10"/>
        <v/>
      </c>
      <c r="V25" s="154" t="str">
        <f t="shared" si="11"/>
        <v/>
      </c>
      <c r="W25" s="110" t="str">
        <f t="shared" si="12"/>
        <v/>
      </c>
      <c r="X25" s="154" t="str">
        <f t="shared" si="13"/>
        <v/>
      </c>
      <c r="Y25" s="111" t="str">
        <f t="shared" si="14"/>
        <v/>
      </c>
      <c r="Z25" s="154" t="str">
        <f t="shared" si="15"/>
        <v/>
      </c>
      <c r="AA25" s="111" t="str">
        <f t="shared" si="16"/>
        <v/>
      </c>
      <c r="AB25" s="111" t="str">
        <f t="shared" si="3"/>
        <v/>
      </c>
      <c r="AC25" s="851" t="str">
        <f t="shared" si="17"/>
        <v/>
      </c>
      <c r="AD25" s="32" t="str">
        <f t="shared" si="4"/>
        <v/>
      </c>
      <c r="AE25" s="154" t="str">
        <f t="shared" si="5"/>
        <v/>
      </c>
      <c r="AF25" s="7"/>
      <c r="AG25" s="280" t="str">
        <f t="shared" si="18"/>
        <v/>
      </c>
      <c r="AH25" s="603"/>
      <c r="AI25" s="252" t="str" cm="1">
        <f t="array" ref="AI25">IF(OR(AG25="",O25=""),"",_xlfn.IFS(
ROUND(IFERROR(VALUE(TRIM(SUBSTITUTE(AG25,CHAR(160),""))),0),2)&gt;
ROUND(IFERROR(VALUE(TRIM(SUBSTITUTE(O25,CHAR(160),""))),0),2),
"KO : Le montant retenu est supérieur au montant présenté. Merci de revoir la ligne de contributions ou plafonner son montant.",
ROUND(IFERROR(VALUE(TRIM(SUBSTITUTE(O25,CHAR(160),""))),0),2)=0,
"",
ROUND(IFERROR(VALUE(TRIM(SUBSTITUTE(AG25,CHAR(160),""))),0),2)=
ROUND(IFERROR(VALUE(TRIM(SUBSTITUTE(O25,CHAR(160),""))),0),2),
"OK",
ROUND(IFERROR(VALUE(TRIM(SUBSTITUTE(AG25,CHAR(160),""))),0),2)=0,
"Attention : Montant présenté entièrement rejeté.",
ROUND(IFERROR(VALUE(TRIM(SUBSTITUTE(AG25,CHAR(160),""))),0),2)&lt;
ROUND(IFERROR(VALUE(TRIM(SUBSTITUTE(O25,CHAR(160),""))),0),2),
"Attention : Montant présenté partiellement rejeté.",
TRUE,""
))</f>
        <v/>
      </c>
      <c r="AJ25" s="251" t="str">
        <f t="shared" si="19"/>
        <v/>
      </c>
    </row>
    <row r="26" spans="1:36" ht="15" customHeight="1">
      <c r="A26" s="193">
        <v>22</v>
      </c>
      <c r="B26" s="268"/>
      <c r="C26" s="7"/>
      <c r="D26" s="7"/>
      <c r="E26" s="12"/>
      <c r="F26" s="7"/>
      <c r="G26" s="13"/>
      <c r="H26" s="7"/>
      <c r="I26" s="10"/>
      <c r="J26" s="14"/>
      <c r="K26" s="10"/>
      <c r="L26" s="10"/>
      <c r="M26" s="851" t="str">
        <f t="shared" si="0"/>
        <v/>
      </c>
      <c r="N26" s="15"/>
      <c r="O26" s="280" t="str">
        <f t="shared" si="1"/>
        <v/>
      </c>
      <c r="P26" s="7"/>
      <c r="Q26" s="192"/>
      <c r="R26" s="190" t="str">
        <f t="shared" si="7"/>
        <v/>
      </c>
      <c r="S26" s="154" t="str">
        <f t="shared" si="8"/>
        <v/>
      </c>
      <c r="T26" s="154" t="str">
        <f t="shared" si="9"/>
        <v/>
      </c>
      <c r="U26" s="154" t="str">
        <f t="shared" si="10"/>
        <v/>
      </c>
      <c r="V26" s="154" t="str">
        <f t="shared" si="11"/>
        <v/>
      </c>
      <c r="W26" s="110" t="str">
        <f t="shared" si="12"/>
        <v/>
      </c>
      <c r="X26" s="154" t="str">
        <f t="shared" si="13"/>
        <v/>
      </c>
      <c r="Y26" s="111" t="str">
        <f t="shared" si="14"/>
        <v/>
      </c>
      <c r="Z26" s="154" t="str">
        <f t="shared" si="15"/>
        <v/>
      </c>
      <c r="AA26" s="111" t="str">
        <f t="shared" si="16"/>
        <v/>
      </c>
      <c r="AB26" s="111" t="str">
        <f t="shared" si="3"/>
        <v/>
      </c>
      <c r="AC26" s="851" t="str">
        <f t="shared" si="17"/>
        <v/>
      </c>
      <c r="AD26" s="32" t="str">
        <f t="shared" si="4"/>
        <v/>
      </c>
      <c r="AE26" s="154" t="str">
        <f t="shared" si="5"/>
        <v/>
      </c>
      <c r="AF26" s="7"/>
      <c r="AG26" s="280" t="str">
        <f t="shared" si="18"/>
        <v/>
      </c>
      <c r="AH26" s="603"/>
      <c r="AI26" s="252" t="str" cm="1">
        <f t="array" ref="AI26">IF(OR(AG26="",O26=""),"",_xlfn.IFS(
ROUND(IFERROR(VALUE(TRIM(SUBSTITUTE(AG26,CHAR(160),""))),0),2)&gt;
ROUND(IFERROR(VALUE(TRIM(SUBSTITUTE(O26,CHAR(160),""))),0),2),
"KO : Le montant retenu est supérieur au montant présenté. Merci de revoir la ligne de contributions ou plafonner son montant.",
ROUND(IFERROR(VALUE(TRIM(SUBSTITUTE(O26,CHAR(160),""))),0),2)=0,
"",
ROUND(IFERROR(VALUE(TRIM(SUBSTITUTE(AG26,CHAR(160),""))),0),2)=
ROUND(IFERROR(VALUE(TRIM(SUBSTITUTE(O26,CHAR(160),""))),0),2),
"OK",
ROUND(IFERROR(VALUE(TRIM(SUBSTITUTE(AG26,CHAR(160),""))),0),2)=0,
"Attention : Montant présenté entièrement rejeté.",
ROUND(IFERROR(VALUE(TRIM(SUBSTITUTE(AG26,CHAR(160),""))),0),2)&lt;
ROUND(IFERROR(VALUE(TRIM(SUBSTITUTE(O26,CHAR(160),""))),0),2),
"Attention : Montant présenté partiellement rejeté.",
TRUE,""
))</f>
        <v/>
      </c>
      <c r="AJ26" s="251" t="str">
        <f t="shared" si="19"/>
        <v/>
      </c>
    </row>
    <row r="27" spans="1:36" ht="15" customHeight="1">
      <c r="A27" s="193">
        <v>23</v>
      </c>
      <c r="B27" s="268"/>
      <c r="C27" s="7"/>
      <c r="D27" s="7"/>
      <c r="E27" s="12"/>
      <c r="F27" s="7"/>
      <c r="G27" s="13"/>
      <c r="H27" s="7"/>
      <c r="I27" s="10"/>
      <c r="J27" s="14"/>
      <c r="K27" s="10"/>
      <c r="L27" s="10"/>
      <c r="M27" s="851" t="str">
        <f t="shared" si="0"/>
        <v/>
      </c>
      <c r="N27" s="15"/>
      <c r="O27" s="280" t="str">
        <f t="shared" si="1"/>
        <v/>
      </c>
      <c r="P27" s="7"/>
      <c r="Q27" s="192"/>
      <c r="R27" s="190" t="str">
        <f t="shared" si="7"/>
        <v/>
      </c>
      <c r="S27" s="154" t="str">
        <f t="shared" si="8"/>
        <v/>
      </c>
      <c r="T27" s="154" t="str">
        <f t="shared" si="9"/>
        <v/>
      </c>
      <c r="U27" s="154" t="str">
        <f t="shared" si="10"/>
        <v/>
      </c>
      <c r="V27" s="154" t="str">
        <f t="shared" si="11"/>
        <v/>
      </c>
      <c r="W27" s="110" t="str">
        <f t="shared" si="12"/>
        <v/>
      </c>
      <c r="X27" s="154" t="str">
        <f t="shared" si="13"/>
        <v/>
      </c>
      <c r="Y27" s="111" t="str">
        <f t="shared" si="14"/>
        <v/>
      </c>
      <c r="Z27" s="154" t="str">
        <f t="shared" si="15"/>
        <v/>
      </c>
      <c r="AA27" s="111" t="str">
        <f t="shared" si="16"/>
        <v/>
      </c>
      <c r="AB27" s="111" t="str">
        <f t="shared" si="3"/>
        <v/>
      </c>
      <c r="AC27" s="851" t="str">
        <f t="shared" si="17"/>
        <v/>
      </c>
      <c r="AD27" s="32" t="str">
        <f t="shared" si="4"/>
        <v/>
      </c>
      <c r="AE27" s="154" t="str">
        <f t="shared" si="5"/>
        <v/>
      </c>
      <c r="AF27" s="7"/>
      <c r="AG27" s="280" t="str">
        <f t="shared" si="18"/>
        <v/>
      </c>
      <c r="AH27" s="603"/>
      <c r="AI27" s="252" t="str" cm="1">
        <f t="array" ref="AI27">IF(OR(AG27="",O27=""),"",_xlfn.IFS(
ROUND(IFERROR(VALUE(TRIM(SUBSTITUTE(AG27,CHAR(160),""))),0),2)&gt;
ROUND(IFERROR(VALUE(TRIM(SUBSTITUTE(O27,CHAR(160),""))),0),2),
"KO : Le montant retenu est supérieur au montant présenté. Merci de revoir la ligne de contributions ou plafonner son montant.",
ROUND(IFERROR(VALUE(TRIM(SUBSTITUTE(O27,CHAR(160),""))),0),2)=0,
"",
ROUND(IFERROR(VALUE(TRIM(SUBSTITUTE(AG27,CHAR(160),""))),0),2)=
ROUND(IFERROR(VALUE(TRIM(SUBSTITUTE(O27,CHAR(160),""))),0),2),
"OK",
ROUND(IFERROR(VALUE(TRIM(SUBSTITUTE(AG27,CHAR(160),""))),0),2)=0,
"Attention : Montant présenté entièrement rejeté.",
ROUND(IFERROR(VALUE(TRIM(SUBSTITUTE(AG27,CHAR(160),""))),0),2)&lt;
ROUND(IFERROR(VALUE(TRIM(SUBSTITUTE(O27,CHAR(160),""))),0),2),
"Attention : Montant présenté partiellement rejeté.",
TRUE,""
))</f>
        <v/>
      </c>
      <c r="AJ27" s="251" t="str">
        <f t="shared" si="19"/>
        <v/>
      </c>
    </row>
    <row r="28" spans="1:36" ht="15" customHeight="1">
      <c r="A28" s="193">
        <v>24</v>
      </c>
      <c r="B28" s="268"/>
      <c r="C28" s="7"/>
      <c r="D28" s="7"/>
      <c r="E28" s="12"/>
      <c r="F28" s="7"/>
      <c r="G28" s="13"/>
      <c r="H28" s="7"/>
      <c r="I28" s="10"/>
      <c r="J28" s="14"/>
      <c r="K28" s="10"/>
      <c r="L28" s="10"/>
      <c r="M28" s="851" t="str">
        <f t="shared" si="0"/>
        <v/>
      </c>
      <c r="N28" s="15"/>
      <c r="O28" s="280" t="str">
        <f t="shared" si="1"/>
        <v/>
      </c>
      <c r="P28" s="7"/>
      <c r="Q28" s="192"/>
      <c r="R28" s="190" t="str">
        <f t="shared" si="7"/>
        <v/>
      </c>
      <c r="S28" s="154" t="str">
        <f t="shared" si="8"/>
        <v/>
      </c>
      <c r="T28" s="154" t="str">
        <f t="shared" si="9"/>
        <v/>
      </c>
      <c r="U28" s="154" t="str">
        <f t="shared" si="10"/>
        <v/>
      </c>
      <c r="V28" s="154" t="str">
        <f t="shared" si="11"/>
        <v/>
      </c>
      <c r="W28" s="110" t="str">
        <f t="shared" si="12"/>
        <v/>
      </c>
      <c r="X28" s="154" t="str">
        <f t="shared" si="13"/>
        <v/>
      </c>
      <c r="Y28" s="111" t="str">
        <f t="shared" si="14"/>
        <v/>
      </c>
      <c r="Z28" s="154" t="str">
        <f t="shared" si="15"/>
        <v/>
      </c>
      <c r="AA28" s="111" t="str">
        <f t="shared" si="16"/>
        <v/>
      </c>
      <c r="AB28" s="111" t="str">
        <f t="shared" si="3"/>
        <v/>
      </c>
      <c r="AC28" s="851" t="str">
        <f t="shared" si="17"/>
        <v/>
      </c>
      <c r="AD28" s="32" t="str">
        <f t="shared" si="4"/>
        <v/>
      </c>
      <c r="AE28" s="154" t="str">
        <f t="shared" si="5"/>
        <v/>
      </c>
      <c r="AF28" s="7"/>
      <c r="AG28" s="280" t="str">
        <f t="shared" si="18"/>
        <v/>
      </c>
      <c r="AH28" s="603"/>
      <c r="AI28" s="252" t="str" cm="1">
        <f t="array" ref="AI28">IF(OR(AG28="",O28=""),"",_xlfn.IFS(
ROUND(IFERROR(VALUE(TRIM(SUBSTITUTE(AG28,CHAR(160),""))),0),2)&gt;
ROUND(IFERROR(VALUE(TRIM(SUBSTITUTE(O28,CHAR(160),""))),0),2),
"KO : Le montant retenu est supérieur au montant présenté. Merci de revoir la ligne de contributions ou plafonner son montant.",
ROUND(IFERROR(VALUE(TRIM(SUBSTITUTE(O28,CHAR(160),""))),0),2)=0,
"",
ROUND(IFERROR(VALUE(TRIM(SUBSTITUTE(AG28,CHAR(160),""))),0),2)=
ROUND(IFERROR(VALUE(TRIM(SUBSTITUTE(O28,CHAR(160),""))),0),2),
"OK",
ROUND(IFERROR(VALUE(TRIM(SUBSTITUTE(AG28,CHAR(160),""))),0),2)=0,
"Attention : Montant présenté entièrement rejeté.",
ROUND(IFERROR(VALUE(TRIM(SUBSTITUTE(AG28,CHAR(160),""))),0),2)&lt;
ROUND(IFERROR(VALUE(TRIM(SUBSTITUTE(O28,CHAR(160),""))),0),2),
"Attention : Montant présenté partiellement rejeté.",
TRUE,""
))</f>
        <v/>
      </c>
      <c r="AJ28" s="251" t="str">
        <f t="shared" si="19"/>
        <v/>
      </c>
    </row>
    <row r="29" spans="1:36" ht="15" customHeight="1">
      <c r="A29" s="193">
        <v>25</v>
      </c>
      <c r="B29" s="268"/>
      <c r="C29" s="7"/>
      <c r="D29" s="7"/>
      <c r="E29" s="12"/>
      <c r="F29" s="7"/>
      <c r="G29" s="13"/>
      <c r="H29" s="7"/>
      <c r="I29" s="10"/>
      <c r="J29" s="14"/>
      <c r="K29" s="10"/>
      <c r="L29" s="10"/>
      <c r="M29" s="851" t="str">
        <f t="shared" si="0"/>
        <v/>
      </c>
      <c r="N29" s="15"/>
      <c r="O29" s="280" t="str">
        <f t="shared" si="1"/>
        <v/>
      </c>
      <c r="P29" s="7"/>
      <c r="Q29" s="192"/>
      <c r="R29" s="190" t="str">
        <f t="shared" si="7"/>
        <v/>
      </c>
      <c r="S29" s="154" t="str">
        <f t="shared" si="8"/>
        <v/>
      </c>
      <c r="T29" s="154" t="str">
        <f t="shared" si="9"/>
        <v/>
      </c>
      <c r="U29" s="154" t="str">
        <f t="shared" si="10"/>
        <v/>
      </c>
      <c r="V29" s="154" t="str">
        <f t="shared" si="11"/>
        <v/>
      </c>
      <c r="W29" s="110" t="str">
        <f t="shared" si="12"/>
        <v/>
      </c>
      <c r="X29" s="154" t="str">
        <f t="shared" si="13"/>
        <v/>
      </c>
      <c r="Y29" s="111" t="str">
        <f t="shared" si="14"/>
        <v/>
      </c>
      <c r="Z29" s="154" t="str">
        <f t="shared" si="15"/>
        <v/>
      </c>
      <c r="AA29" s="111" t="str">
        <f t="shared" si="16"/>
        <v/>
      </c>
      <c r="AB29" s="111" t="str">
        <f t="shared" si="3"/>
        <v/>
      </c>
      <c r="AC29" s="851" t="str">
        <f t="shared" si="17"/>
        <v/>
      </c>
      <c r="AD29" s="32" t="str">
        <f t="shared" si="4"/>
        <v/>
      </c>
      <c r="AE29" s="154" t="str">
        <f t="shared" si="5"/>
        <v/>
      </c>
      <c r="AF29" s="7"/>
      <c r="AG29" s="280" t="str">
        <f t="shared" si="18"/>
        <v/>
      </c>
      <c r="AH29" s="603"/>
      <c r="AI29" s="252" t="str" cm="1">
        <f t="array" ref="AI29">IF(OR(AG29="",O29=""),"",_xlfn.IFS(
ROUND(IFERROR(VALUE(TRIM(SUBSTITUTE(AG29,CHAR(160),""))),0),2)&gt;
ROUND(IFERROR(VALUE(TRIM(SUBSTITUTE(O29,CHAR(160),""))),0),2),
"KO : Le montant retenu est supérieur au montant présenté. Merci de revoir la ligne de contributions ou plafonner son montant.",
ROUND(IFERROR(VALUE(TRIM(SUBSTITUTE(O29,CHAR(160),""))),0),2)=0,
"",
ROUND(IFERROR(VALUE(TRIM(SUBSTITUTE(AG29,CHAR(160),""))),0),2)=
ROUND(IFERROR(VALUE(TRIM(SUBSTITUTE(O29,CHAR(160),""))),0),2),
"OK",
ROUND(IFERROR(VALUE(TRIM(SUBSTITUTE(AG29,CHAR(160),""))),0),2)=0,
"Attention : Montant présenté entièrement rejeté.",
ROUND(IFERROR(VALUE(TRIM(SUBSTITUTE(AG29,CHAR(160),""))),0),2)&lt;
ROUND(IFERROR(VALUE(TRIM(SUBSTITUTE(O29,CHAR(160),""))),0),2),
"Attention : Montant présenté partiellement rejeté.",
TRUE,""
))</f>
        <v/>
      </c>
      <c r="AJ29" s="251" t="str">
        <f t="shared" si="19"/>
        <v/>
      </c>
    </row>
    <row r="30" spans="1:36" ht="15" customHeight="1">
      <c r="A30" s="193">
        <v>26</v>
      </c>
      <c r="B30" s="268"/>
      <c r="C30" s="7"/>
      <c r="D30" s="7"/>
      <c r="E30" s="12"/>
      <c r="F30" s="7"/>
      <c r="G30" s="13"/>
      <c r="H30" s="7"/>
      <c r="I30" s="10"/>
      <c r="J30" s="14"/>
      <c r="K30" s="10"/>
      <c r="L30" s="10"/>
      <c r="M30" s="851" t="str">
        <f t="shared" si="0"/>
        <v/>
      </c>
      <c r="N30" s="15"/>
      <c r="O30" s="280" t="str">
        <f t="shared" si="1"/>
        <v/>
      </c>
      <c r="P30" s="7"/>
      <c r="Q30" s="192"/>
      <c r="R30" s="190" t="str">
        <f t="shared" si="7"/>
        <v/>
      </c>
      <c r="S30" s="154" t="str">
        <f t="shared" si="8"/>
        <v/>
      </c>
      <c r="T30" s="154" t="str">
        <f t="shared" si="9"/>
        <v/>
      </c>
      <c r="U30" s="154" t="str">
        <f t="shared" si="10"/>
        <v/>
      </c>
      <c r="V30" s="154" t="str">
        <f t="shared" si="11"/>
        <v/>
      </c>
      <c r="W30" s="110" t="str">
        <f t="shared" si="12"/>
        <v/>
      </c>
      <c r="X30" s="154" t="str">
        <f t="shared" si="13"/>
        <v/>
      </c>
      <c r="Y30" s="111" t="str">
        <f t="shared" si="14"/>
        <v/>
      </c>
      <c r="Z30" s="154" t="str">
        <f t="shared" si="15"/>
        <v/>
      </c>
      <c r="AA30" s="111" t="str">
        <f t="shared" si="16"/>
        <v/>
      </c>
      <c r="AB30" s="111" t="str">
        <f t="shared" si="3"/>
        <v/>
      </c>
      <c r="AC30" s="851" t="str">
        <f t="shared" si="17"/>
        <v/>
      </c>
      <c r="AD30" s="32" t="str">
        <f t="shared" si="4"/>
        <v/>
      </c>
      <c r="AE30" s="154" t="str">
        <f t="shared" si="5"/>
        <v/>
      </c>
      <c r="AF30" s="7"/>
      <c r="AG30" s="280" t="str">
        <f t="shared" si="18"/>
        <v/>
      </c>
      <c r="AH30" s="603"/>
      <c r="AI30" s="252" t="str" cm="1">
        <f t="array" ref="AI30">IF(OR(AG30="",O30=""),"",_xlfn.IFS(
ROUND(IFERROR(VALUE(TRIM(SUBSTITUTE(AG30,CHAR(160),""))),0),2)&gt;
ROUND(IFERROR(VALUE(TRIM(SUBSTITUTE(O30,CHAR(160),""))),0),2),
"KO : Le montant retenu est supérieur au montant présenté. Merci de revoir la ligne de contributions ou plafonner son montant.",
ROUND(IFERROR(VALUE(TRIM(SUBSTITUTE(O30,CHAR(160),""))),0),2)=0,
"",
ROUND(IFERROR(VALUE(TRIM(SUBSTITUTE(AG30,CHAR(160),""))),0),2)=
ROUND(IFERROR(VALUE(TRIM(SUBSTITUTE(O30,CHAR(160),""))),0),2),
"OK",
ROUND(IFERROR(VALUE(TRIM(SUBSTITUTE(AG30,CHAR(160),""))),0),2)=0,
"Attention : Montant présenté entièrement rejeté.",
ROUND(IFERROR(VALUE(TRIM(SUBSTITUTE(AG30,CHAR(160),""))),0),2)&lt;
ROUND(IFERROR(VALUE(TRIM(SUBSTITUTE(O30,CHAR(160),""))),0),2),
"Attention : Montant présenté partiellement rejeté.",
TRUE,""
))</f>
        <v/>
      </c>
      <c r="AJ30" s="251" t="str">
        <f t="shared" si="19"/>
        <v/>
      </c>
    </row>
    <row r="31" spans="1:36" ht="15" customHeight="1">
      <c r="A31" s="193">
        <v>27</v>
      </c>
      <c r="B31" s="268"/>
      <c r="C31" s="7"/>
      <c r="D31" s="7"/>
      <c r="E31" s="12"/>
      <c r="F31" s="7"/>
      <c r="G31" s="13"/>
      <c r="H31" s="7"/>
      <c r="I31" s="10"/>
      <c r="J31" s="14"/>
      <c r="K31" s="10"/>
      <c r="L31" s="10"/>
      <c r="M31" s="851" t="str">
        <f t="shared" si="0"/>
        <v/>
      </c>
      <c r="N31" s="15"/>
      <c r="O31" s="280" t="str">
        <f t="shared" si="1"/>
        <v/>
      </c>
      <c r="P31" s="7"/>
      <c r="Q31" s="192"/>
      <c r="R31" s="190" t="str">
        <f t="shared" si="7"/>
        <v/>
      </c>
      <c r="S31" s="154" t="str">
        <f t="shared" si="8"/>
        <v/>
      </c>
      <c r="T31" s="154" t="str">
        <f t="shared" si="9"/>
        <v/>
      </c>
      <c r="U31" s="154" t="str">
        <f t="shared" si="10"/>
        <v/>
      </c>
      <c r="V31" s="154" t="str">
        <f t="shared" si="11"/>
        <v/>
      </c>
      <c r="W31" s="110" t="str">
        <f t="shared" si="12"/>
        <v/>
      </c>
      <c r="X31" s="154" t="str">
        <f t="shared" si="13"/>
        <v/>
      </c>
      <c r="Y31" s="111" t="str">
        <f t="shared" si="14"/>
        <v/>
      </c>
      <c r="Z31" s="154" t="str">
        <f t="shared" si="15"/>
        <v/>
      </c>
      <c r="AA31" s="111" t="str">
        <f t="shared" si="16"/>
        <v/>
      </c>
      <c r="AB31" s="111" t="str">
        <f t="shared" si="3"/>
        <v/>
      </c>
      <c r="AC31" s="851" t="str">
        <f t="shared" si="17"/>
        <v/>
      </c>
      <c r="AD31" s="32" t="str">
        <f t="shared" si="4"/>
        <v/>
      </c>
      <c r="AE31" s="154" t="str">
        <f t="shared" si="5"/>
        <v/>
      </c>
      <c r="AF31" s="7"/>
      <c r="AG31" s="280" t="str">
        <f t="shared" si="18"/>
        <v/>
      </c>
      <c r="AH31" s="603"/>
      <c r="AI31" s="252" t="str" cm="1">
        <f t="array" ref="AI31">IF(OR(AG31="",O31=""),"",_xlfn.IFS(
ROUND(IFERROR(VALUE(TRIM(SUBSTITUTE(AG31,CHAR(160),""))),0),2)&gt;
ROUND(IFERROR(VALUE(TRIM(SUBSTITUTE(O31,CHAR(160),""))),0),2),
"KO : Le montant retenu est supérieur au montant présenté. Merci de revoir la ligne de contributions ou plafonner son montant.",
ROUND(IFERROR(VALUE(TRIM(SUBSTITUTE(O31,CHAR(160),""))),0),2)=0,
"",
ROUND(IFERROR(VALUE(TRIM(SUBSTITUTE(AG31,CHAR(160),""))),0),2)=
ROUND(IFERROR(VALUE(TRIM(SUBSTITUTE(O31,CHAR(160),""))),0),2),
"OK",
ROUND(IFERROR(VALUE(TRIM(SUBSTITUTE(AG31,CHAR(160),""))),0),2)=0,
"Attention : Montant présenté entièrement rejeté.",
ROUND(IFERROR(VALUE(TRIM(SUBSTITUTE(AG31,CHAR(160),""))),0),2)&lt;
ROUND(IFERROR(VALUE(TRIM(SUBSTITUTE(O31,CHAR(160),""))),0),2),
"Attention : Montant présenté partiellement rejeté.",
TRUE,""
))</f>
        <v/>
      </c>
      <c r="AJ31" s="251" t="str">
        <f t="shared" si="19"/>
        <v/>
      </c>
    </row>
    <row r="32" spans="1:36" ht="15" customHeight="1">
      <c r="A32" s="193">
        <v>28</v>
      </c>
      <c r="B32" s="268"/>
      <c r="C32" s="7"/>
      <c r="D32" s="7"/>
      <c r="E32" s="12"/>
      <c r="F32" s="7"/>
      <c r="G32" s="13"/>
      <c r="H32" s="7"/>
      <c r="I32" s="10"/>
      <c r="J32" s="14"/>
      <c r="K32" s="10"/>
      <c r="L32" s="10"/>
      <c r="M32" s="851" t="str">
        <f t="shared" si="0"/>
        <v/>
      </c>
      <c r="N32" s="15"/>
      <c r="O32" s="280" t="str">
        <f t="shared" si="1"/>
        <v/>
      </c>
      <c r="P32" s="7"/>
      <c r="Q32" s="192"/>
      <c r="R32" s="190" t="str">
        <f t="shared" si="7"/>
        <v/>
      </c>
      <c r="S32" s="154" t="str">
        <f t="shared" si="8"/>
        <v/>
      </c>
      <c r="T32" s="154" t="str">
        <f t="shared" si="9"/>
        <v/>
      </c>
      <c r="U32" s="154" t="str">
        <f t="shared" si="10"/>
        <v/>
      </c>
      <c r="V32" s="154" t="str">
        <f t="shared" si="11"/>
        <v/>
      </c>
      <c r="W32" s="110" t="str">
        <f t="shared" si="12"/>
        <v/>
      </c>
      <c r="X32" s="154" t="str">
        <f t="shared" si="13"/>
        <v/>
      </c>
      <c r="Y32" s="111" t="str">
        <f t="shared" si="14"/>
        <v/>
      </c>
      <c r="Z32" s="154" t="str">
        <f t="shared" si="15"/>
        <v/>
      </c>
      <c r="AA32" s="111" t="str">
        <f t="shared" si="16"/>
        <v/>
      </c>
      <c r="AB32" s="111" t="str">
        <f t="shared" si="3"/>
        <v/>
      </c>
      <c r="AC32" s="851" t="str">
        <f t="shared" si="17"/>
        <v/>
      </c>
      <c r="AD32" s="32" t="str">
        <f t="shared" si="4"/>
        <v/>
      </c>
      <c r="AE32" s="154" t="str">
        <f t="shared" si="5"/>
        <v/>
      </c>
      <c r="AF32" s="7"/>
      <c r="AG32" s="280" t="str">
        <f t="shared" si="18"/>
        <v/>
      </c>
      <c r="AH32" s="603"/>
      <c r="AI32" s="252" t="str" cm="1">
        <f t="array" ref="AI32">IF(OR(AG32="",O32=""),"",_xlfn.IFS(
ROUND(IFERROR(VALUE(TRIM(SUBSTITUTE(AG32,CHAR(160),""))),0),2)&gt;
ROUND(IFERROR(VALUE(TRIM(SUBSTITUTE(O32,CHAR(160),""))),0),2),
"KO : Le montant retenu est supérieur au montant présenté. Merci de revoir la ligne de contributions ou plafonner son montant.",
ROUND(IFERROR(VALUE(TRIM(SUBSTITUTE(O32,CHAR(160),""))),0),2)=0,
"",
ROUND(IFERROR(VALUE(TRIM(SUBSTITUTE(AG32,CHAR(160),""))),0),2)=
ROUND(IFERROR(VALUE(TRIM(SUBSTITUTE(O32,CHAR(160),""))),0),2),
"OK",
ROUND(IFERROR(VALUE(TRIM(SUBSTITUTE(AG32,CHAR(160),""))),0),2)=0,
"Attention : Montant présenté entièrement rejeté.",
ROUND(IFERROR(VALUE(TRIM(SUBSTITUTE(AG32,CHAR(160),""))),0),2)&lt;
ROUND(IFERROR(VALUE(TRIM(SUBSTITUTE(O32,CHAR(160),""))),0),2),
"Attention : Montant présenté partiellement rejeté.",
TRUE,""
))</f>
        <v/>
      </c>
      <c r="AJ32" s="251" t="str">
        <f t="shared" si="19"/>
        <v/>
      </c>
    </row>
    <row r="33" spans="1:36" ht="15" customHeight="1">
      <c r="A33" s="193">
        <v>29</v>
      </c>
      <c r="B33" s="268"/>
      <c r="C33" s="7"/>
      <c r="D33" s="7"/>
      <c r="E33" s="12"/>
      <c r="F33" s="7"/>
      <c r="G33" s="13"/>
      <c r="H33" s="7"/>
      <c r="I33" s="10"/>
      <c r="J33" s="14"/>
      <c r="K33" s="10"/>
      <c r="L33" s="10"/>
      <c r="M33" s="851" t="str">
        <f t="shared" si="0"/>
        <v/>
      </c>
      <c r="N33" s="15"/>
      <c r="O33" s="280" t="str">
        <f t="shared" si="1"/>
        <v/>
      </c>
      <c r="P33" s="7"/>
      <c r="Q33" s="192"/>
      <c r="R33" s="190" t="str">
        <f t="shared" si="7"/>
        <v/>
      </c>
      <c r="S33" s="154" t="str">
        <f t="shared" si="8"/>
        <v/>
      </c>
      <c r="T33" s="154" t="str">
        <f t="shared" si="9"/>
        <v/>
      </c>
      <c r="U33" s="154" t="str">
        <f t="shared" si="10"/>
        <v/>
      </c>
      <c r="V33" s="154" t="str">
        <f t="shared" si="11"/>
        <v/>
      </c>
      <c r="W33" s="110" t="str">
        <f t="shared" si="12"/>
        <v/>
      </c>
      <c r="X33" s="154" t="str">
        <f t="shared" si="13"/>
        <v/>
      </c>
      <c r="Y33" s="111" t="str">
        <f t="shared" si="14"/>
        <v/>
      </c>
      <c r="Z33" s="154" t="str">
        <f t="shared" si="15"/>
        <v/>
      </c>
      <c r="AA33" s="111" t="str">
        <f t="shared" si="16"/>
        <v/>
      </c>
      <c r="AB33" s="111" t="str">
        <f t="shared" si="3"/>
        <v/>
      </c>
      <c r="AC33" s="851" t="str">
        <f t="shared" si="17"/>
        <v/>
      </c>
      <c r="AD33" s="32" t="str">
        <f t="shared" si="4"/>
        <v/>
      </c>
      <c r="AE33" s="154" t="str">
        <f t="shared" si="5"/>
        <v/>
      </c>
      <c r="AF33" s="7"/>
      <c r="AG33" s="280" t="str">
        <f t="shared" si="18"/>
        <v/>
      </c>
      <c r="AH33" s="603"/>
      <c r="AI33" s="252" t="str" cm="1">
        <f t="array" ref="AI33">IF(OR(AG33="",O33=""),"",_xlfn.IFS(
ROUND(IFERROR(VALUE(TRIM(SUBSTITUTE(AG33,CHAR(160),""))),0),2)&gt;
ROUND(IFERROR(VALUE(TRIM(SUBSTITUTE(O33,CHAR(160),""))),0),2),
"KO : Le montant retenu est supérieur au montant présenté. Merci de revoir la ligne de contributions ou plafonner son montant.",
ROUND(IFERROR(VALUE(TRIM(SUBSTITUTE(O33,CHAR(160),""))),0),2)=0,
"",
ROUND(IFERROR(VALUE(TRIM(SUBSTITUTE(AG33,CHAR(160),""))),0),2)=
ROUND(IFERROR(VALUE(TRIM(SUBSTITUTE(O33,CHAR(160),""))),0),2),
"OK",
ROUND(IFERROR(VALUE(TRIM(SUBSTITUTE(AG33,CHAR(160),""))),0),2)=0,
"Attention : Montant présenté entièrement rejeté.",
ROUND(IFERROR(VALUE(TRIM(SUBSTITUTE(AG33,CHAR(160),""))),0),2)&lt;
ROUND(IFERROR(VALUE(TRIM(SUBSTITUTE(O33,CHAR(160),""))),0),2),
"Attention : Montant présenté partiellement rejeté.",
TRUE,""
))</f>
        <v/>
      </c>
      <c r="AJ33" s="251" t="str">
        <f t="shared" si="19"/>
        <v/>
      </c>
    </row>
    <row r="34" spans="1:36" ht="15" customHeight="1">
      <c r="A34" s="193">
        <v>30</v>
      </c>
      <c r="B34" s="268"/>
      <c r="C34" s="7"/>
      <c r="D34" s="7"/>
      <c r="E34" s="12"/>
      <c r="F34" s="7"/>
      <c r="G34" s="13"/>
      <c r="H34" s="7"/>
      <c r="I34" s="10"/>
      <c r="J34" s="14"/>
      <c r="K34" s="10"/>
      <c r="L34" s="10"/>
      <c r="M34" s="851" t="str">
        <f t="shared" si="0"/>
        <v/>
      </c>
      <c r="N34" s="15"/>
      <c r="O34" s="280" t="str">
        <f t="shared" si="1"/>
        <v/>
      </c>
      <c r="P34" s="7"/>
      <c r="Q34" s="192"/>
      <c r="R34" s="190" t="str">
        <f t="shared" si="7"/>
        <v/>
      </c>
      <c r="S34" s="154" t="str">
        <f t="shared" si="8"/>
        <v/>
      </c>
      <c r="T34" s="154" t="str">
        <f t="shared" si="9"/>
        <v/>
      </c>
      <c r="U34" s="154" t="str">
        <f t="shared" si="10"/>
        <v/>
      </c>
      <c r="V34" s="154" t="str">
        <f t="shared" si="11"/>
        <v/>
      </c>
      <c r="W34" s="110" t="str">
        <f t="shared" si="12"/>
        <v/>
      </c>
      <c r="X34" s="154" t="str">
        <f t="shared" si="13"/>
        <v/>
      </c>
      <c r="Y34" s="111" t="str">
        <f t="shared" si="14"/>
        <v/>
      </c>
      <c r="Z34" s="154" t="str">
        <f t="shared" si="15"/>
        <v/>
      </c>
      <c r="AA34" s="111" t="str">
        <f t="shared" si="16"/>
        <v/>
      </c>
      <c r="AB34" s="111" t="str">
        <f t="shared" si="3"/>
        <v/>
      </c>
      <c r="AC34" s="851" t="str">
        <f t="shared" si="17"/>
        <v/>
      </c>
      <c r="AD34" s="32" t="str">
        <f t="shared" si="4"/>
        <v/>
      </c>
      <c r="AE34" s="154" t="str">
        <f t="shared" si="5"/>
        <v/>
      </c>
      <c r="AF34" s="7"/>
      <c r="AG34" s="280" t="str">
        <f t="shared" si="18"/>
        <v/>
      </c>
      <c r="AH34" s="603"/>
      <c r="AI34" s="252" t="str" cm="1">
        <f t="array" ref="AI34">IF(OR(AG34="",O34=""),"",_xlfn.IFS(
ROUND(IFERROR(VALUE(TRIM(SUBSTITUTE(AG34,CHAR(160),""))),0),2)&gt;
ROUND(IFERROR(VALUE(TRIM(SUBSTITUTE(O34,CHAR(160),""))),0),2),
"KO : Le montant retenu est supérieur au montant présenté. Merci de revoir la ligne de contributions ou plafonner son montant.",
ROUND(IFERROR(VALUE(TRIM(SUBSTITUTE(O34,CHAR(160),""))),0),2)=0,
"",
ROUND(IFERROR(VALUE(TRIM(SUBSTITUTE(AG34,CHAR(160),""))),0),2)=
ROUND(IFERROR(VALUE(TRIM(SUBSTITUTE(O34,CHAR(160),""))),0),2),
"OK",
ROUND(IFERROR(VALUE(TRIM(SUBSTITUTE(AG34,CHAR(160),""))),0),2)=0,
"Attention : Montant présenté entièrement rejeté.",
ROUND(IFERROR(VALUE(TRIM(SUBSTITUTE(AG34,CHAR(160),""))),0),2)&lt;
ROUND(IFERROR(VALUE(TRIM(SUBSTITUTE(O34,CHAR(160),""))),0),2),
"Attention : Montant présenté partiellement rejeté.",
TRUE,""
))</f>
        <v/>
      </c>
      <c r="AJ34" s="251" t="str">
        <f t="shared" si="19"/>
        <v/>
      </c>
    </row>
    <row r="35" spans="1:36" ht="15" customHeight="1">
      <c r="A35" s="193">
        <v>31</v>
      </c>
      <c r="B35" s="268"/>
      <c r="C35" s="7"/>
      <c r="D35" s="7"/>
      <c r="E35" s="12"/>
      <c r="F35" s="7"/>
      <c r="G35" s="13"/>
      <c r="H35" s="7"/>
      <c r="I35" s="10"/>
      <c r="J35" s="14"/>
      <c r="K35" s="10"/>
      <c r="L35" s="10"/>
      <c r="M35" s="851" t="str">
        <f t="shared" si="0"/>
        <v/>
      </c>
      <c r="N35" s="15"/>
      <c r="O35" s="280" t="str">
        <f t="shared" si="1"/>
        <v/>
      </c>
      <c r="P35" s="7"/>
      <c r="Q35" s="192"/>
      <c r="R35" s="190" t="str">
        <f t="shared" si="7"/>
        <v/>
      </c>
      <c r="S35" s="154" t="str">
        <f t="shared" si="8"/>
        <v/>
      </c>
      <c r="T35" s="154" t="str">
        <f t="shared" si="9"/>
        <v/>
      </c>
      <c r="U35" s="154" t="str">
        <f t="shared" si="10"/>
        <v/>
      </c>
      <c r="V35" s="154" t="str">
        <f t="shared" si="11"/>
        <v/>
      </c>
      <c r="W35" s="110" t="str">
        <f t="shared" si="12"/>
        <v/>
      </c>
      <c r="X35" s="154" t="str">
        <f t="shared" si="13"/>
        <v/>
      </c>
      <c r="Y35" s="111" t="str">
        <f t="shared" si="14"/>
        <v/>
      </c>
      <c r="Z35" s="154" t="str">
        <f t="shared" si="15"/>
        <v/>
      </c>
      <c r="AA35" s="111" t="str">
        <f t="shared" si="16"/>
        <v/>
      </c>
      <c r="AB35" s="111" t="str">
        <f t="shared" si="3"/>
        <v/>
      </c>
      <c r="AC35" s="851" t="str">
        <f t="shared" si="17"/>
        <v/>
      </c>
      <c r="AD35" s="32" t="str">
        <f t="shared" si="4"/>
        <v/>
      </c>
      <c r="AE35" s="154" t="str">
        <f t="shared" si="5"/>
        <v/>
      </c>
      <c r="AF35" s="7"/>
      <c r="AG35" s="280" t="str">
        <f t="shared" si="18"/>
        <v/>
      </c>
      <c r="AH35" s="603"/>
      <c r="AI35" s="252" t="str" cm="1">
        <f t="array" ref="AI35">IF(OR(AG35="",O35=""),"",_xlfn.IFS(
ROUND(IFERROR(VALUE(TRIM(SUBSTITUTE(AG35,CHAR(160),""))),0),2)&gt;
ROUND(IFERROR(VALUE(TRIM(SUBSTITUTE(O35,CHAR(160),""))),0),2),
"KO : Le montant retenu est supérieur au montant présenté. Merci de revoir la ligne de contributions ou plafonner son montant.",
ROUND(IFERROR(VALUE(TRIM(SUBSTITUTE(O35,CHAR(160),""))),0),2)=0,
"",
ROUND(IFERROR(VALUE(TRIM(SUBSTITUTE(AG35,CHAR(160),""))),0),2)=
ROUND(IFERROR(VALUE(TRIM(SUBSTITUTE(O35,CHAR(160),""))),0),2),
"OK",
ROUND(IFERROR(VALUE(TRIM(SUBSTITUTE(AG35,CHAR(160),""))),0),2)=0,
"Attention : Montant présenté entièrement rejeté.",
ROUND(IFERROR(VALUE(TRIM(SUBSTITUTE(AG35,CHAR(160),""))),0),2)&lt;
ROUND(IFERROR(VALUE(TRIM(SUBSTITUTE(O35,CHAR(160),""))),0),2),
"Attention : Montant présenté partiellement rejeté.",
TRUE,""
))</f>
        <v/>
      </c>
      <c r="AJ35" s="251" t="str">
        <f t="shared" si="19"/>
        <v/>
      </c>
    </row>
    <row r="36" spans="1:36" ht="15" customHeight="1">
      <c r="A36" s="193">
        <v>32</v>
      </c>
      <c r="B36" s="268"/>
      <c r="C36" s="7"/>
      <c r="D36" s="7"/>
      <c r="E36" s="12"/>
      <c r="F36" s="7"/>
      <c r="G36" s="13"/>
      <c r="H36" s="7"/>
      <c r="I36" s="10"/>
      <c r="J36" s="14"/>
      <c r="K36" s="10"/>
      <c r="L36" s="10"/>
      <c r="M36" s="851" t="str">
        <f t="shared" si="0"/>
        <v/>
      </c>
      <c r="N36" s="15"/>
      <c r="O36" s="280" t="str">
        <f t="shared" si="1"/>
        <v/>
      </c>
      <c r="P36" s="7"/>
      <c r="Q36" s="192"/>
      <c r="R36" s="190" t="str">
        <f t="shared" si="7"/>
        <v/>
      </c>
      <c r="S36" s="154" t="str">
        <f t="shared" si="8"/>
        <v/>
      </c>
      <c r="T36" s="154" t="str">
        <f t="shared" si="9"/>
        <v/>
      </c>
      <c r="U36" s="154" t="str">
        <f t="shared" si="10"/>
        <v/>
      </c>
      <c r="V36" s="154" t="str">
        <f t="shared" si="11"/>
        <v/>
      </c>
      <c r="W36" s="110" t="str">
        <f t="shared" si="12"/>
        <v/>
      </c>
      <c r="X36" s="154" t="str">
        <f t="shared" si="13"/>
        <v/>
      </c>
      <c r="Y36" s="111" t="str">
        <f t="shared" si="14"/>
        <v/>
      </c>
      <c r="Z36" s="154" t="str">
        <f t="shared" si="15"/>
        <v/>
      </c>
      <c r="AA36" s="111" t="str">
        <f t="shared" si="16"/>
        <v/>
      </c>
      <c r="AB36" s="111" t="str">
        <f t="shared" si="3"/>
        <v/>
      </c>
      <c r="AC36" s="851" t="str">
        <f t="shared" si="17"/>
        <v/>
      </c>
      <c r="AD36" s="32" t="str">
        <f t="shared" si="4"/>
        <v/>
      </c>
      <c r="AE36" s="154" t="str">
        <f t="shared" si="5"/>
        <v/>
      </c>
      <c r="AF36" s="7"/>
      <c r="AG36" s="280" t="str">
        <f t="shared" si="18"/>
        <v/>
      </c>
      <c r="AH36" s="603"/>
      <c r="AI36" s="252" t="str" cm="1">
        <f t="array" ref="AI36">IF(OR(AG36="",O36=""),"",_xlfn.IFS(
ROUND(IFERROR(VALUE(TRIM(SUBSTITUTE(AG36,CHAR(160),""))),0),2)&gt;
ROUND(IFERROR(VALUE(TRIM(SUBSTITUTE(O36,CHAR(160),""))),0),2),
"KO : Le montant retenu est supérieur au montant présenté. Merci de revoir la ligne de contributions ou plafonner son montant.",
ROUND(IFERROR(VALUE(TRIM(SUBSTITUTE(O36,CHAR(160),""))),0),2)=0,
"",
ROUND(IFERROR(VALUE(TRIM(SUBSTITUTE(AG36,CHAR(160),""))),0),2)=
ROUND(IFERROR(VALUE(TRIM(SUBSTITUTE(O36,CHAR(160),""))),0),2),
"OK",
ROUND(IFERROR(VALUE(TRIM(SUBSTITUTE(AG36,CHAR(160),""))),0),2)=0,
"Attention : Montant présenté entièrement rejeté.",
ROUND(IFERROR(VALUE(TRIM(SUBSTITUTE(AG36,CHAR(160),""))),0),2)&lt;
ROUND(IFERROR(VALUE(TRIM(SUBSTITUTE(O36,CHAR(160),""))),0),2),
"Attention : Montant présenté partiellement rejeté.",
TRUE,""
))</f>
        <v/>
      </c>
      <c r="AJ36" s="251" t="str">
        <f t="shared" si="19"/>
        <v/>
      </c>
    </row>
    <row r="37" spans="1:36" ht="15" customHeight="1">
      <c r="A37" s="193">
        <v>33</v>
      </c>
      <c r="B37" s="268"/>
      <c r="C37" s="7"/>
      <c r="D37" s="7"/>
      <c r="E37" s="12"/>
      <c r="F37" s="7"/>
      <c r="G37" s="13"/>
      <c r="H37" s="7"/>
      <c r="I37" s="10"/>
      <c r="J37" s="14"/>
      <c r="K37" s="10"/>
      <c r="L37" s="10"/>
      <c r="M37" s="851" t="str">
        <f t="shared" si="0"/>
        <v/>
      </c>
      <c r="N37" s="15"/>
      <c r="O37" s="280" t="str">
        <f t="shared" si="1"/>
        <v/>
      </c>
      <c r="P37" s="7"/>
      <c r="Q37" s="192"/>
      <c r="R37" s="190" t="str">
        <f t="shared" si="7"/>
        <v/>
      </c>
      <c r="S37" s="154" t="str">
        <f t="shared" si="8"/>
        <v/>
      </c>
      <c r="T37" s="154" t="str">
        <f t="shared" si="9"/>
        <v/>
      </c>
      <c r="U37" s="154" t="str">
        <f t="shared" si="10"/>
        <v/>
      </c>
      <c r="V37" s="154" t="str">
        <f t="shared" si="11"/>
        <v/>
      </c>
      <c r="W37" s="110" t="str">
        <f t="shared" si="12"/>
        <v/>
      </c>
      <c r="X37" s="154" t="str">
        <f t="shared" si="13"/>
        <v/>
      </c>
      <c r="Y37" s="111" t="str">
        <f t="shared" si="14"/>
        <v/>
      </c>
      <c r="Z37" s="154" t="str">
        <f t="shared" si="15"/>
        <v/>
      </c>
      <c r="AA37" s="111" t="str">
        <f t="shared" si="16"/>
        <v/>
      </c>
      <c r="AB37" s="111" t="str">
        <f t="shared" si="3"/>
        <v/>
      </c>
      <c r="AC37" s="851" t="str">
        <f t="shared" si="17"/>
        <v/>
      </c>
      <c r="AD37" s="32" t="str">
        <f t="shared" si="4"/>
        <v/>
      </c>
      <c r="AE37" s="154" t="str">
        <f t="shared" si="5"/>
        <v/>
      </c>
      <c r="AF37" s="7"/>
      <c r="AG37" s="280" t="str">
        <f t="shared" si="18"/>
        <v/>
      </c>
      <c r="AH37" s="603"/>
      <c r="AI37" s="252" t="str" cm="1">
        <f t="array" ref="AI37">IF(OR(AG37="",O37=""),"",_xlfn.IFS(
ROUND(IFERROR(VALUE(TRIM(SUBSTITUTE(AG37,CHAR(160),""))),0),2)&gt;
ROUND(IFERROR(VALUE(TRIM(SUBSTITUTE(O37,CHAR(160),""))),0),2),
"KO : Le montant retenu est supérieur au montant présenté. Merci de revoir la ligne de contributions ou plafonner son montant.",
ROUND(IFERROR(VALUE(TRIM(SUBSTITUTE(O37,CHAR(160),""))),0),2)=0,
"",
ROUND(IFERROR(VALUE(TRIM(SUBSTITUTE(AG37,CHAR(160),""))),0),2)=
ROUND(IFERROR(VALUE(TRIM(SUBSTITUTE(O37,CHAR(160),""))),0),2),
"OK",
ROUND(IFERROR(VALUE(TRIM(SUBSTITUTE(AG37,CHAR(160),""))),0),2)=0,
"Attention : Montant présenté entièrement rejeté.",
ROUND(IFERROR(VALUE(TRIM(SUBSTITUTE(AG37,CHAR(160),""))),0),2)&lt;
ROUND(IFERROR(VALUE(TRIM(SUBSTITUTE(O37,CHAR(160),""))),0),2),
"Attention : Montant présenté partiellement rejeté.",
TRUE,""
))</f>
        <v/>
      </c>
      <c r="AJ37" s="251" t="str">
        <f t="shared" si="19"/>
        <v/>
      </c>
    </row>
    <row r="38" spans="1:36" ht="15" customHeight="1">
      <c r="A38" s="193">
        <v>34</v>
      </c>
      <c r="B38" s="268"/>
      <c r="C38" s="7"/>
      <c r="D38" s="7"/>
      <c r="E38" s="12"/>
      <c r="F38" s="7"/>
      <c r="G38" s="13"/>
      <c r="H38" s="7"/>
      <c r="I38" s="10"/>
      <c r="J38" s="14"/>
      <c r="K38" s="10"/>
      <c r="L38" s="10"/>
      <c r="M38" s="851" t="str">
        <f t="shared" si="0"/>
        <v/>
      </c>
      <c r="N38" s="15"/>
      <c r="O38" s="280" t="str">
        <f t="shared" si="1"/>
        <v/>
      </c>
      <c r="P38" s="7"/>
      <c r="Q38" s="192"/>
      <c r="R38" s="190" t="str">
        <f t="shared" ref="R38:R69" si="20">IF(B38="","",B38)</f>
        <v/>
      </c>
      <c r="S38" s="154" t="str">
        <f t="shared" ref="S38:S69" si="21">IF(C38="","",C38)</f>
        <v/>
      </c>
      <c r="T38" s="154" t="str">
        <f t="shared" ref="T38:T69" si="22">IF(D38="","",D38)</f>
        <v/>
      </c>
      <c r="U38" s="154" t="str">
        <f t="shared" ref="U38:U69" si="23">IF(E38="","",E38)</f>
        <v/>
      </c>
      <c r="V38" s="154" t="str">
        <f t="shared" ref="V38:V69" si="24">IF(F38="","",F38)</f>
        <v/>
      </c>
      <c r="W38" s="110" t="str">
        <f t="shared" ref="W38:W69" si="25">IF(G38="","",G38)</f>
        <v/>
      </c>
      <c r="X38" s="154" t="str">
        <f t="shared" ref="X38:X69" si="26">IF(H38="","",H38)</f>
        <v/>
      </c>
      <c r="Y38" s="111" t="str">
        <f t="shared" ref="Y38:Y69" si="27">IF(I38="","",I38)</f>
        <v/>
      </c>
      <c r="Z38" s="154" t="str">
        <f t="shared" ref="Z38:Z69" si="28">IF(J38="","",J38)</f>
        <v/>
      </c>
      <c r="AA38" s="111" t="str">
        <f t="shared" ref="AA38:AA69" si="29">IF(K38="","",K38)</f>
        <v/>
      </c>
      <c r="AB38" s="111" t="str">
        <f t="shared" si="3"/>
        <v/>
      </c>
      <c r="AC38" s="851" t="str">
        <f t="shared" si="17"/>
        <v/>
      </c>
      <c r="AD38" s="32" t="str">
        <f t="shared" si="4"/>
        <v/>
      </c>
      <c r="AE38" s="154" t="str">
        <f t="shared" si="5"/>
        <v/>
      </c>
      <c r="AF38" s="7"/>
      <c r="AG38" s="280" t="str">
        <f t="shared" si="18"/>
        <v/>
      </c>
      <c r="AH38" s="603"/>
      <c r="AI38" s="252" t="str" cm="1">
        <f t="array" ref="AI38">IF(OR(AG38="",O38=""),"",_xlfn.IFS(
ROUND(IFERROR(VALUE(TRIM(SUBSTITUTE(AG38,CHAR(160),""))),0),2)&gt;
ROUND(IFERROR(VALUE(TRIM(SUBSTITUTE(O38,CHAR(160),""))),0),2),
"KO : Le montant retenu est supérieur au montant présenté. Merci de revoir la ligne de contributions ou plafonner son montant.",
ROUND(IFERROR(VALUE(TRIM(SUBSTITUTE(O38,CHAR(160),""))),0),2)=0,
"",
ROUND(IFERROR(VALUE(TRIM(SUBSTITUTE(AG38,CHAR(160),""))),0),2)=
ROUND(IFERROR(VALUE(TRIM(SUBSTITUTE(O38,CHAR(160),""))),0),2),
"OK",
ROUND(IFERROR(VALUE(TRIM(SUBSTITUTE(AG38,CHAR(160),""))),0),2)=0,
"Attention : Montant présenté entièrement rejeté.",
ROUND(IFERROR(VALUE(TRIM(SUBSTITUTE(AG38,CHAR(160),""))),0),2)&lt;
ROUND(IFERROR(VALUE(TRIM(SUBSTITUTE(O38,CHAR(160),""))),0),2),
"Attention : Montant présenté partiellement rejeté.",
TRUE,""
))</f>
        <v/>
      </c>
      <c r="AJ38" s="251" t="str">
        <f t="shared" si="19"/>
        <v/>
      </c>
    </row>
    <row r="39" spans="1:36" ht="15" customHeight="1">
      <c r="A39" s="193">
        <v>35</v>
      </c>
      <c r="B39" s="268"/>
      <c r="C39" s="7"/>
      <c r="D39" s="7"/>
      <c r="E39" s="12"/>
      <c r="F39" s="7"/>
      <c r="G39" s="13"/>
      <c r="H39" s="7"/>
      <c r="I39" s="10"/>
      <c r="J39" s="14"/>
      <c r="K39" s="10"/>
      <c r="L39" s="10"/>
      <c r="M39" s="851" t="str">
        <f t="shared" si="0"/>
        <v/>
      </c>
      <c r="N39" s="15"/>
      <c r="O39" s="280" t="str">
        <f t="shared" si="1"/>
        <v/>
      </c>
      <c r="P39" s="7"/>
      <c r="Q39" s="192"/>
      <c r="R39" s="190" t="str">
        <f t="shared" si="20"/>
        <v/>
      </c>
      <c r="S39" s="154" t="str">
        <f t="shared" si="21"/>
        <v/>
      </c>
      <c r="T39" s="154" t="str">
        <f t="shared" si="22"/>
        <v/>
      </c>
      <c r="U39" s="154" t="str">
        <f t="shared" si="23"/>
        <v/>
      </c>
      <c r="V39" s="154" t="str">
        <f t="shared" si="24"/>
        <v/>
      </c>
      <c r="W39" s="110" t="str">
        <f t="shared" si="25"/>
        <v/>
      </c>
      <c r="X39" s="154" t="str">
        <f t="shared" si="26"/>
        <v/>
      </c>
      <c r="Y39" s="111" t="str">
        <f t="shared" si="27"/>
        <v/>
      </c>
      <c r="Z39" s="154" t="str">
        <f t="shared" si="28"/>
        <v/>
      </c>
      <c r="AA39" s="111" t="str">
        <f t="shared" si="29"/>
        <v/>
      </c>
      <c r="AB39" s="111" t="str">
        <f t="shared" si="3"/>
        <v/>
      </c>
      <c r="AC39" s="851" t="str">
        <f t="shared" si="17"/>
        <v/>
      </c>
      <c r="AD39" s="32" t="str">
        <f t="shared" si="4"/>
        <v/>
      </c>
      <c r="AE39" s="154" t="str">
        <f t="shared" si="5"/>
        <v/>
      </c>
      <c r="AF39" s="7"/>
      <c r="AG39" s="280" t="str">
        <f t="shared" si="18"/>
        <v/>
      </c>
      <c r="AH39" s="603"/>
      <c r="AI39" s="252" t="str" cm="1">
        <f t="array" ref="AI39">IF(OR(AG39="",O39=""),"",_xlfn.IFS(
ROUND(IFERROR(VALUE(TRIM(SUBSTITUTE(AG39,CHAR(160),""))),0),2)&gt;
ROUND(IFERROR(VALUE(TRIM(SUBSTITUTE(O39,CHAR(160),""))),0),2),
"KO : Le montant retenu est supérieur au montant présenté. Merci de revoir la ligne de contributions ou plafonner son montant.",
ROUND(IFERROR(VALUE(TRIM(SUBSTITUTE(O39,CHAR(160),""))),0),2)=0,
"",
ROUND(IFERROR(VALUE(TRIM(SUBSTITUTE(AG39,CHAR(160),""))),0),2)=
ROUND(IFERROR(VALUE(TRIM(SUBSTITUTE(O39,CHAR(160),""))),0),2),
"OK",
ROUND(IFERROR(VALUE(TRIM(SUBSTITUTE(AG39,CHAR(160),""))),0),2)=0,
"Attention : Montant présenté entièrement rejeté.",
ROUND(IFERROR(VALUE(TRIM(SUBSTITUTE(AG39,CHAR(160),""))),0),2)&lt;
ROUND(IFERROR(VALUE(TRIM(SUBSTITUTE(O39,CHAR(160),""))),0),2),
"Attention : Montant présenté partiellement rejeté.",
TRUE,""
))</f>
        <v/>
      </c>
      <c r="AJ39" s="251" t="str">
        <f t="shared" si="19"/>
        <v/>
      </c>
    </row>
    <row r="40" spans="1:36" ht="15" customHeight="1">
      <c r="A40" s="193">
        <v>36</v>
      </c>
      <c r="B40" s="268"/>
      <c r="C40" s="7"/>
      <c r="D40" s="7"/>
      <c r="E40" s="12"/>
      <c r="F40" s="7"/>
      <c r="G40" s="13"/>
      <c r="H40" s="7"/>
      <c r="I40" s="10"/>
      <c r="J40" s="14"/>
      <c r="K40" s="10"/>
      <c r="L40" s="10"/>
      <c r="M40" s="851" t="str">
        <f t="shared" si="0"/>
        <v/>
      </c>
      <c r="N40" s="15"/>
      <c r="O40" s="280" t="str">
        <f t="shared" si="1"/>
        <v/>
      </c>
      <c r="P40" s="7"/>
      <c r="Q40" s="192"/>
      <c r="R40" s="190" t="str">
        <f t="shared" si="20"/>
        <v/>
      </c>
      <c r="S40" s="154" t="str">
        <f t="shared" si="21"/>
        <v/>
      </c>
      <c r="T40" s="154" t="str">
        <f t="shared" si="22"/>
        <v/>
      </c>
      <c r="U40" s="154" t="str">
        <f t="shared" si="23"/>
        <v/>
      </c>
      <c r="V40" s="154" t="str">
        <f t="shared" si="24"/>
        <v/>
      </c>
      <c r="W40" s="110" t="str">
        <f t="shared" si="25"/>
        <v/>
      </c>
      <c r="X40" s="154" t="str">
        <f t="shared" si="26"/>
        <v/>
      </c>
      <c r="Y40" s="111" t="str">
        <f t="shared" si="27"/>
        <v/>
      </c>
      <c r="Z40" s="154" t="str">
        <f t="shared" si="28"/>
        <v/>
      </c>
      <c r="AA40" s="111" t="str">
        <f t="shared" si="29"/>
        <v/>
      </c>
      <c r="AB40" s="111" t="str">
        <f t="shared" si="3"/>
        <v/>
      </c>
      <c r="AC40" s="851" t="str">
        <f t="shared" si="17"/>
        <v/>
      </c>
      <c r="AD40" s="32" t="str">
        <f t="shared" si="4"/>
        <v/>
      </c>
      <c r="AE40" s="154" t="str">
        <f t="shared" si="5"/>
        <v/>
      </c>
      <c r="AF40" s="7"/>
      <c r="AG40" s="280" t="str">
        <f t="shared" si="18"/>
        <v/>
      </c>
      <c r="AH40" s="603"/>
      <c r="AI40" s="252" t="str" cm="1">
        <f t="array" ref="AI40">IF(OR(AG40="",O40=""),"",_xlfn.IFS(
ROUND(IFERROR(VALUE(TRIM(SUBSTITUTE(AG40,CHAR(160),""))),0),2)&gt;
ROUND(IFERROR(VALUE(TRIM(SUBSTITUTE(O40,CHAR(160),""))),0),2),
"KO : Le montant retenu est supérieur au montant présenté. Merci de revoir la ligne de contributions ou plafonner son montant.",
ROUND(IFERROR(VALUE(TRIM(SUBSTITUTE(O40,CHAR(160),""))),0),2)=0,
"",
ROUND(IFERROR(VALUE(TRIM(SUBSTITUTE(AG40,CHAR(160),""))),0),2)=
ROUND(IFERROR(VALUE(TRIM(SUBSTITUTE(O40,CHAR(160),""))),0),2),
"OK",
ROUND(IFERROR(VALUE(TRIM(SUBSTITUTE(AG40,CHAR(160),""))),0),2)=0,
"Attention : Montant présenté entièrement rejeté.",
ROUND(IFERROR(VALUE(TRIM(SUBSTITUTE(AG40,CHAR(160),""))),0),2)&lt;
ROUND(IFERROR(VALUE(TRIM(SUBSTITUTE(O40,CHAR(160),""))),0),2),
"Attention : Montant présenté partiellement rejeté.",
TRUE,""
))</f>
        <v/>
      </c>
      <c r="AJ40" s="251" t="str">
        <f t="shared" si="19"/>
        <v/>
      </c>
    </row>
    <row r="41" spans="1:36" ht="15" customHeight="1">
      <c r="A41" s="193">
        <v>37</v>
      </c>
      <c r="B41" s="268"/>
      <c r="C41" s="7"/>
      <c r="D41" s="7"/>
      <c r="E41" s="12"/>
      <c r="F41" s="7"/>
      <c r="G41" s="13"/>
      <c r="H41" s="7"/>
      <c r="I41" s="10"/>
      <c r="J41" s="14"/>
      <c r="K41" s="10"/>
      <c r="L41" s="10"/>
      <c r="M41" s="851" t="str">
        <f t="shared" si="0"/>
        <v/>
      </c>
      <c r="N41" s="15"/>
      <c r="O41" s="280" t="str">
        <f t="shared" si="1"/>
        <v/>
      </c>
      <c r="P41" s="7"/>
      <c r="Q41" s="192"/>
      <c r="R41" s="190" t="str">
        <f t="shared" si="20"/>
        <v/>
      </c>
      <c r="S41" s="154" t="str">
        <f t="shared" si="21"/>
        <v/>
      </c>
      <c r="T41" s="154" t="str">
        <f t="shared" si="22"/>
        <v/>
      </c>
      <c r="U41" s="154" t="str">
        <f t="shared" si="23"/>
        <v/>
      </c>
      <c r="V41" s="154" t="str">
        <f t="shared" si="24"/>
        <v/>
      </c>
      <c r="W41" s="110" t="str">
        <f t="shared" si="25"/>
        <v/>
      </c>
      <c r="X41" s="154" t="str">
        <f t="shared" si="26"/>
        <v/>
      </c>
      <c r="Y41" s="111" t="str">
        <f t="shared" si="27"/>
        <v/>
      </c>
      <c r="Z41" s="154" t="str">
        <f t="shared" si="28"/>
        <v/>
      </c>
      <c r="AA41" s="111" t="str">
        <f t="shared" si="29"/>
        <v/>
      </c>
      <c r="AB41" s="111" t="str">
        <f t="shared" si="3"/>
        <v/>
      </c>
      <c r="AC41" s="851" t="str">
        <f t="shared" si="17"/>
        <v/>
      </c>
      <c r="AD41" s="32" t="str">
        <f t="shared" si="4"/>
        <v/>
      </c>
      <c r="AE41" s="154" t="str">
        <f t="shared" si="5"/>
        <v/>
      </c>
      <c r="AF41" s="7"/>
      <c r="AG41" s="280" t="str">
        <f t="shared" si="18"/>
        <v/>
      </c>
      <c r="AH41" s="603"/>
      <c r="AI41" s="252" t="str" cm="1">
        <f t="array" ref="AI41">IF(OR(AG41="",O41=""),"",_xlfn.IFS(
ROUND(IFERROR(VALUE(TRIM(SUBSTITUTE(AG41,CHAR(160),""))),0),2)&gt;
ROUND(IFERROR(VALUE(TRIM(SUBSTITUTE(O41,CHAR(160),""))),0),2),
"KO : Le montant retenu est supérieur au montant présenté. Merci de revoir la ligne de contributions ou plafonner son montant.",
ROUND(IFERROR(VALUE(TRIM(SUBSTITUTE(O41,CHAR(160),""))),0),2)=0,
"",
ROUND(IFERROR(VALUE(TRIM(SUBSTITUTE(AG41,CHAR(160),""))),0),2)=
ROUND(IFERROR(VALUE(TRIM(SUBSTITUTE(O41,CHAR(160),""))),0),2),
"OK",
ROUND(IFERROR(VALUE(TRIM(SUBSTITUTE(AG41,CHAR(160),""))),0),2)=0,
"Attention : Montant présenté entièrement rejeté.",
ROUND(IFERROR(VALUE(TRIM(SUBSTITUTE(AG41,CHAR(160),""))),0),2)&lt;
ROUND(IFERROR(VALUE(TRIM(SUBSTITUTE(O41,CHAR(160),""))),0),2),
"Attention : Montant présenté partiellement rejeté.",
TRUE,""
))</f>
        <v/>
      </c>
      <c r="AJ41" s="251" t="str">
        <f t="shared" si="19"/>
        <v/>
      </c>
    </row>
    <row r="42" spans="1:36" ht="15" customHeight="1">
      <c r="A42" s="193">
        <v>38</v>
      </c>
      <c r="B42" s="268"/>
      <c r="C42" s="7"/>
      <c r="D42" s="7"/>
      <c r="E42" s="12"/>
      <c r="F42" s="7"/>
      <c r="G42" s="13"/>
      <c r="H42" s="7"/>
      <c r="I42" s="10"/>
      <c r="J42" s="14"/>
      <c r="K42" s="10"/>
      <c r="L42" s="10"/>
      <c r="M42" s="851" t="str">
        <f t="shared" si="0"/>
        <v/>
      </c>
      <c r="N42" s="15"/>
      <c r="O42" s="280" t="str">
        <f t="shared" si="1"/>
        <v/>
      </c>
      <c r="P42" s="7"/>
      <c r="Q42" s="192"/>
      <c r="R42" s="190" t="str">
        <f t="shared" si="20"/>
        <v/>
      </c>
      <c r="S42" s="154" t="str">
        <f t="shared" si="21"/>
        <v/>
      </c>
      <c r="T42" s="154" t="str">
        <f t="shared" si="22"/>
        <v/>
      </c>
      <c r="U42" s="154" t="str">
        <f t="shared" si="23"/>
        <v/>
      </c>
      <c r="V42" s="154" t="str">
        <f t="shared" si="24"/>
        <v/>
      </c>
      <c r="W42" s="110" t="str">
        <f t="shared" si="25"/>
        <v/>
      </c>
      <c r="X42" s="154" t="str">
        <f t="shared" si="26"/>
        <v/>
      </c>
      <c r="Y42" s="111" t="str">
        <f t="shared" si="27"/>
        <v/>
      </c>
      <c r="Z42" s="154" t="str">
        <f t="shared" si="28"/>
        <v/>
      </c>
      <c r="AA42" s="111" t="str">
        <f t="shared" si="29"/>
        <v/>
      </c>
      <c r="AB42" s="111" t="str">
        <f t="shared" si="3"/>
        <v/>
      </c>
      <c r="AC42" s="851" t="str">
        <f t="shared" si="17"/>
        <v/>
      </c>
      <c r="AD42" s="32" t="str">
        <f t="shared" si="4"/>
        <v/>
      </c>
      <c r="AE42" s="154" t="str">
        <f t="shared" si="5"/>
        <v/>
      </c>
      <c r="AF42" s="7"/>
      <c r="AG42" s="280" t="str">
        <f t="shared" si="18"/>
        <v/>
      </c>
      <c r="AH42" s="603"/>
      <c r="AI42" s="252" t="str" cm="1">
        <f t="array" ref="AI42">IF(OR(AG42="",O42=""),"",_xlfn.IFS(
ROUND(IFERROR(VALUE(TRIM(SUBSTITUTE(AG42,CHAR(160),""))),0),2)&gt;
ROUND(IFERROR(VALUE(TRIM(SUBSTITUTE(O42,CHAR(160),""))),0),2),
"KO : Le montant retenu est supérieur au montant présenté. Merci de revoir la ligne de contributions ou plafonner son montant.",
ROUND(IFERROR(VALUE(TRIM(SUBSTITUTE(O42,CHAR(160),""))),0),2)=0,
"",
ROUND(IFERROR(VALUE(TRIM(SUBSTITUTE(AG42,CHAR(160),""))),0),2)=
ROUND(IFERROR(VALUE(TRIM(SUBSTITUTE(O42,CHAR(160),""))),0),2),
"OK",
ROUND(IFERROR(VALUE(TRIM(SUBSTITUTE(AG42,CHAR(160),""))),0),2)=0,
"Attention : Montant présenté entièrement rejeté.",
ROUND(IFERROR(VALUE(TRIM(SUBSTITUTE(AG42,CHAR(160),""))),0),2)&lt;
ROUND(IFERROR(VALUE(TRIM(SUBSTITUTE(O42,CHAR(160),""))),0),2),
"Attention : Montant présenté partiellement rejeté.",
TRUE,""
))</f>
        <v/>
      </c>
      <c r="AJ42" s="251" t="str">
        <f t="shared" si="19"/>
        <v/>
      </c>
    </row>
    <row r="43" spans="1:36" ht="15" customHeight="1">
      <c r="A43" s="193">
        <v>39</v>
      </c>
      <c r="B43" s="268"/>
      <c r="C43" s="7"/>
      <c r="D43" s="7"/>
      <c r="E43" s="12"/>
      <c r="F43" s="7"/>
      <c r="G43" s="13"/>
      <c r="H43" s="7"/>
      <c r="I43" s="10"/>
      <c r="J43" s="14"/>
      <c r="K43" s="10"/>
      <c r="L43" s="10"/>
      <c r="M43" s="851" t="str">
        <f t="shared" si="0"/>
        <v/>
      </c>
      <c r="N43" s="15"/>
      <c r="O43" s="280" t="str">
        <f t="shared" si="1"/>
        <v/>
      </c>
      <c r="P43" s="7"/>
      <c r="Q43" s="192"/>
      <c r="R43" s="190" t="str">
        <f t="shared" si="20"/>
        <v/>
      </c>
      <c r="S43" s="154" t="str">
        <f t="shared" si="21"/>
        <v/>
      </c>
      <c r="T43" s="154" t="str">
        <f t="shared" si="22"/>
        <v/>
      </c>
      <c r="U43" s="154" t="str">
        <f t="shared" si="23"/>
        <v/>
      </c>
      <c r="V43" s="154" t="str">
        <f t="shared" si="24"/>
        <v/>
      </c>
      <c r="W43" s="110" t="str">
        <f t="shared" si="25"/>
        <v/>
      </c>
      <c r="X43" s="154" t="str">
        <f t="shared" si="26"/>
        <v/>
      </c>
      <c r="Y43" s="111" t="str">
        <f t="shared" si="27"/>
        <v/>
      </c>
      <c r="Z43" s="154" t="str">
        <f t="shared" si="28"/>
        <v/>
      </c>
      <c r="AA43" s="111" t="str">
        <f t="shared" si="29"/>
        <v/>
      </c>
      <c r="AB43" s="111" t="str">
        <f t="shared" si="3"/>
        <v/>
      </c>
      <c r="AC43" s="851" t="str">
        <f t="shared" si="17"/>
        <v/>
      </c>
      <c r="AD43" s="32" t="str">
        <f t="shared" si="4"/>
        <v/>
      </c>
      <c r="AE43" s="154" t="str">
        <f t="shared" si="5"/>
        <v/>
      </c>
      <c r="AF43" s="7"/>
      <c r="AG43" s="280" t="str">
        <f t="shared" si="18"/>
        <v/>
      </c>
      <c r="AH43" s="603"/>
      <c r="AI43" s="252" t="str" cm="1">
        <f t="array" ref="AI43">IF(OR(AG43="",O43=""),"",_xlfn.IFS(
ROUND(IFERROR(VALUE(TRIM(SUBSTITUTE(AG43,CHAR(160),""))),0),2)&gt;
ROUND(IFERROR(VALUE(TRIM(SUBSTITUTE(O43,CHAR(160),""))),0),2),
"KO : Le montant retenu est supérieur au montant présenté. Merci de revoir la ligne de contributions ou plafonner son montant.",
ROUND(IFERROR(VALUE(TRIM(SUBSTITUTE(O43,CHAR(160),""))),0),2)=0,
"",
ROUND(IFERROR(VALUE(TRIM(SUBSTITUTE(AG43,CHAR(160),""))),0),2)=
ROUND(IFERROR(VALUE(TRIM(SUBSTITUTE(O43,CHAR(160),""))),0),2),
"OK",
ROUND(IFERROR(VALUE(TRIM(SUBSTITUTE(AG43,CHAR(160),""))),0),2)=0,
"Attention : Montant présenté entièrement rejeté.",
ROUND(IFERROR(VALUE(TRIM(SUBSTITUTE(AG43,CHAR(160),""))),0),2)&lt;
ROUND(IFERROR(VALUE(TRIM(SUBSTITUTE(O43,CHAR(160),""))),0),2),
"Attention : Montant présenté partiellement rejeté.",
TRUE,""
))</f>
        <v/>
      </c>
      <c r="AJ43" s="251" t="str">
        <f t="shared" si="19"/>
        <v/>
      </c>
    </row>
    <row r="44" spans="1:36" ht="15" customHeight="1">
      <c r="A44" s="193">
        <v>40</v>
      </c>
      <c r="B44" s="268"/>
      <c r="C44" s="7"/>
      <c r="D44" s="7"/>
      <c r="E44" s="12"/>
      <c r="F44" s="7"/>
      <c r="G44" s="13"/>
      <c r="H44" s="7"/>
      <c r="I44" s="10"/>
      <c r="J44" s="14"/>
      <c r="K44" s="10"/>
      <c r="L44" s="10"/>
      <c r="M44" s="851" t="str">
        <f t="shared" si="0"/>
        <v/>
      </c>
      <c r="N44" s="15"/>
      <c r="O44" s="280" t="str">
        <f t="shared" si="1"/>
        <v/>
      </c>
      <c r="P44" s="7"/>
      <c r="Q44" s="192"/>
      <c r="R44" s="190" t="str">
        <f t="shared" si="20"/>
        <v/>
      </c>
      <c r="S44" s="154" t="str">
        <f t="shared" si="21"/>
        <v/>
      </c>
      <c r="T44" s="154" t="str">
        <f t="shared" si="22"/>
        <v/>
      </c>
      <c r="U44" s="154" t="str">
        <f t="shared" si="23"/>
        <v/>
      </c>
      <c r="V44" s="154" t="str">
        <f t="shared" si="24"/>
        <v/>
      </c>
      <c r="W44" s="110" t="str">
        <f t="shared" si="25"/>
        <v/>
      </c>
      <c r="X44" s="154" t="str">
        <f t="shared" si="26"/>
        <v/>
      </c>
      <c r="Y44" s="111" t="str">
        <f t="shared" si="27"/>
        <v/>
      </c>
      <c r="Z44" s="154" t="str">
        <f t="shared" si="28"/>
        <v/>
      </c>
      <c r="AA44" s="111" t="str">
        <f t="shared" si="29"/>
        <v/>
      </c>
      <c r="AB44" s="111" t="str">
        <f t="shared" si="3"/>
        <v/>
      </c>
      <c r="AC44" s="851" t="str">
        <f t="shared" si="17"/>
        <v/>
      </c>
      <c r="AD44" s="32" t="str">
        <f t="shared" si="4"/>
        <v/>
      </c>
      <c r="AE44" s="154" t="str">
        <f t="shared" si="5"/>
        <v/>
      </c>
      <c r="AF44" s="7"/>
      <c r="AG44" s="280" t="str">
        <f t="shared" si="18"/>
        <v/>
      </c>
      <c r="AH44" s="603"/>
      <c r="AI44" s="252" t="str" cm="1">
        <f t="array" ref="AI44">IF(OR(AG44="",O44=""),"",_xlfn.IFS(
ROUND(IFERROR(VALUE(TRIM(SUBSTITUTE(AG44,CHAR(160),""))),0),2)&gt;
ROUND(IFERROR(VALUE(TRIM(SUBSTITUTE(O44,CHAR(160),""))),0),2),
"KO : Le montant retenu est supérieur au montant présenté. Merci de revoir la ligne de contributions ou plafonner son montant.",
ROUND(IFERROR(VALUE(TRIM(SUBSTITUTE(O44,CHAR(160),""))),0),2)=0,
"",
ROUND(IFERROR(VALUE(TRIM(SUBSTITUTE(AG44,CHAR(160),""))),0),2)=
ROUND(IFERROR(VALUE(TRIM(SUBSTITUTE(O44,CHAR(160),""))),0),2),
"OK",
ROUND(IFERROR(VALUE(TRIM(SUBSTITUTE(AG44,CHAR(160),""))),0),2)=0,
"Attention : Montant présenté entièrement rejeté.",
ROUND(IFERROR(VALUE(TRIM(SUBSTITUTE(AG44,CHAR(160),""))),0),2)&lt;
ROUND(IFERROR(VALUE(TRIM(SUBSTITUTE(O44,CHAR(160),""))),0),2),
"Attention : Montant présenté partiellement rejeté.",
TRUE,""
))</f>
        <v/>
      </c>
      <c r="AJ44" s="251" t="str">
        <f t="shared" si="19"/>
        <v/>
      </c>
    </row>
    <row r="45" spans="1:36" ht="15" customHeight="1">
      <c r="A45" s="193">
        <v>41</v>
      </c>
      <c r="B45" s="268"/>
      <c r="C45" s="7"/>
      <c r="D45" s="7"/>
      <c r="E45" s="12"/>
      <c r="F45" s="7"/>
      <c r="G45" s="13"/>
      <c r="H45" s="7"/>
      <c r="I45" s="10"/>
      <c r="J45" s="14"/>
      <c r="K45" s="10"/>
      <c r="L45" s="10"/>
      <c r="M45" s="851" t="str">
        <f t="shared" si="0"/>
        <v/>
      </c>
      <c r="N45" s="15"/>
      <c r="O45" s="280" t="str">
        <f t="shared" si="1"/>
        <v/>
      </c>
      <c r="P45" s="7"/>
      <c r="Q45" s="192"/>
      <c r="R45" s="190" t="str">
        <f t="shared" si="20"/>
        <v/>
      </c>
      <c r="S45" s="154" t="str">
        <f t="shared" si="21"/>
        <v/>
      </c>
      <c r="T45" s="154" t="str">
        <f t="shared" si="22"/>
        <v/>
      </c>
      <c r="U45" s="154" t="str">
        <f t="shared" si="23"/>
        <v/>
      </c>
      <c r="V45" s="154" t="str">
        <f t="shared" si="24"/>
        <v/>
      </c>
      <c r="W45" s="110" t="str">
        <f t="shared" si="25"/>
        <v/>
      </c>
      <c r="X45" s="154" t="str">
        <f t="shared" si="26"/>
        <v/>
      </c>
      <c r="Y45" s="111" t="str">
        <f t="shared" si="27"/>
        <v/>
      </c>
      <c r="Z45" s="154" t="str">
        <f t="shared" si="28"/>
        <v/>
      </c>
      <c r="AA45" s="111" t="str">
        <f t="shared" si="29"/>
        <v/>
      </c>
      <c r="AB45" s="111" t="str">
        <f t="shared" si="3"/>
        <v/>
      </c>
      <c r="AC45" s="851" t="str">
        <f t="shared" si="17"/>
        <v/>
      </c>
      <c r="AD45" s="32" t="str">
        <f t="shared" si="4"/>
        <v/>
      </c>
      <c r="AE45" s="154" t="str">
        <f t="shared" si="5"/>
        <v/>
      </c>
      <c r="AF45" s="7"/>
      <c r="AG45" s="280" t="str">
        <f t="shared" si="18"/>
        <v/>
      </c>
      <c r="AH45" s="603"/>
      <c r="AI45" s="252" t="str" cm="1">
        <f t="array" ref="AI45">IF(OR(AG45="",O45=""),"",_xlfn.IFS(
ROUND(IFERROR(VALUE(TRIM(SUBSTITUTE(AG45,CHAR(160),""))),0),2)&gt;
ROUND(IFERROR(VALUE(TRIM(SUBSTITUTE(O45,CHAR(160),""))),0),2),
"KO : Le montant retenu est supérieur au montant présenté. Merci de revoir la ligne de contributions ou plafonner son montant.",
ROUND(IFERROR(VALUE(TRIM(SUBSTITUTE(O45,CHAR(160),""))),0),2)=0,
"",
ROUND(IFERROR(VALUE(TRIM(SUBSTITUTE(AG45,CHAR(160),""))),0),2)=
ROUND(IFERROR(VALUE(TRIM(SUBSTITUTE(O45,CHAR(160),""))),0),2),
"OK",
ROUND(IFERROR(VALUE(TRIM(SUBSTITUTE(AG45,CHAR(160),""))),0),2)=0,
"Attention : Montant présenté entièrement rejeté.",
ROUND(IFERROR(VALUE(TRIM(SUBSTITUTE(AG45,CHAR(160),""))),0),2)&lt;
ROUND(IFERROR(VALUE(TRIM(SUBSTITUTE(O45,CHAR(160),""))),0),2),
"Attention : Montant présenté partiellement rejeté.",
TRUE,""
))</f>
        <v/>
      </c>
      <c r="AJ45" s="251" t="str">
        <f t="shared" si="19"/>
        <v/>
      </c>
    </row>
    <row r="46" spans="1:36" ht="15" customHeight="1">
      <c r="A46" s="193">
        <v>42</v>
      </c>
      <c r="B46" s="268"/>
      <c r="C46" s="7"/>
      <c r="D46" s="7"/>
      <c r="E46" s="12"/>
      <c r="F46" s="7"/>
      <c r="G46" s="13"/>
      <c r="H46" s="7"/>
      <c r="I46" s="10"/>
      <c r="J46" s="14"/>
      <c r="K46" s="10"/>
      <c r="L46" s="10"/>
      <c r="M46" s="851" t="str">
        <f t="shared" si="0"/>
        <v/>
      </c>
      <c r="N46" s="15"/>
      <c r="O46" s="280" t="str">
        <f t="shared" si="1"/>
        <v/>
      </c>
      <c r="P46" s="7"/>
      <c r="Q46" s="192"/>
      <c r="R46" s="190" t="str">
        <f t="shared" si="20"/>
        <v/>
      </c>
      <c r="S46" s="154" t="str">
        <f t="shared" si="21"/>
        <v/>
      </c>
      <c r="T46" s="154" t="str">
        <f t="shared" si="22"/>
        <v/>
      </c>
      <c r="U46" s="154" t="str">
        <f t="shared" si="23"/>
        <v/>
      </c>
      <c r="V46" s="154" t="str">
        <f t="shared" si="24"/>
        <v/>
      </c>
      <c r="W46" s="110" t="str">
        <f t="shared" si="25"/>
        <v/>
      </c>
      <c r="X46" s="154" t="str">
        <f t="shared" si="26"/>
        <v/>
      </c>
      <c r="Y46" s="111" t="str">
        <f t="shared" si="27"/>
        <v/>
      </c>
      <c r="Z46" s="154" t="str">
        <f t="shared" si="28"/>
        <v/>
      </c>
      <c r="AA46" s="111" t="str">
        <f t="shared" si="29"/>
        <v/>
      </c>
      <c r="AB46" s="111" t="str">
        <f t="shared" si="3"/>
        <v/>
      </c>
      <c r="AC46" s="851" t="str">
        <f t="shared" si="17"/>
        <v/>
      </c>
      <c r="AD46" s="32" t="str">
        <f t="shared" si="4"/>
        <v/>
      </c>
      <c r="AE46" s="154" t="str">
        <f t="shared" si="5"/>
        <v/>
      </c>
      <c r="AF46" s="7"/>
      <c r="AG46" s="280" t="str">
        <f t="shared" si="18"/>
        <v/>
      </c>
      <c r="AH46" s="603"/>
      <c r="AI46" s="252" t="str" cm="1">
        <f t="array" ref="AI46">IF(OR(AG46="",O46=""),"",_xlfn.IFS(
ROUND(IFERROR(VALUE(TRIM(SUBSTITUTE(AG46,CHAR(160),""))),0),2)&gt;
ROUND(IFERROR(VALUE(TRIM(SUBSTITUTE(O46,CHAR(160),""))),0),2),
"KO : Le montant retenu est supérieur au montant présenté. Merci de revoir la ligne de contributions ou plafonner son montant.",
ROUND(IFERROR(VALUE(TRIM(SUBSTITUTE(O46,CHAR(160),""))),0),2)=0,
"",
ROUND(IFERROR(VALUE(TRIM(SUBSTITUTE(AG46,CHAR(160),""))),0),2)=
ROUND(IFERROR(VALUE(TRIM(SUBSTITUTE(O46,CHAR(160),""))),0),2),
"OK",
ROUND(IFERROR(VALUE(TRIM(SUBSTITUTE(AG46,CHAR(160),""))),0),2)=0,
"Attention : Montant présenté entièrement rejeté.",
ROUND(IFERROR(VALUE(TRIM(SUBSTITUTE(AG46,CHAR(160),""))),0),2)&lt;
ROUND(IFERROR(VALUE(TRIM(SUBSTITUTE(O46,CHAR(160),""))),0),2),
"Attention : Montant présenté partiellement rejeté.",
TRUE,""
))</f>
        <v/>
      </c>
      <c r="AJ46" s="251" t="str">
        <f t="shared" si="19"/>
        <v/>
      </c>
    </row>
    <row r="47" spans="1:36" ht="15" customHeight="1">
      <c r="A47" s="193">
        <v>43</v>
      </c>
      <c r="B47" s="268"/>
      <c r="C47" s="7"/>
      <c r="D47" s="7"/>
      <c r="E47" s="12"/>
      <c r="F47" s="7"/>
      <c r="G47" s="13"/>
      <c r="H47" s="7"/>
      <c r="I47" s="10"/>
      <c r="J47" s="14"/>
      <c r="K47" s="10"/>
      <c r="L47" s="10"/>
      <c r="M47" s="851" t="str">
        <f t="shared" si="0"/>
        <v/>
      </c>
      <c r="N47" s="15"/>
      <c r="O47" s="280" t="str">
        <f t="shared" si="1"/>
        <v/>
      </c>
      <c r="P47" s="7"/>
      <c r="Q47" s="192"/>
      <c r="R47" s="190" t="str">
        <f t="shared" si="20"/>
        <v/>
      </c>
      <c r="S47" s="154" t="str">
        <f t="shared" si="21"/>
        <v/>
      </c>
      <c r="T47" s="154" t="str">
        <f t="shared" si="22"/>
        <v/>
      </c>
      <c r="U47" s="154" t="str">
        <f t="shared" si="23"/>
        <v/>
      </c>
      <c r="V47" s="154" t="str">
        <f t="shared" si="24"/>
        <v/>
      </c>
      <c r="W47" s="110" t="str">
        <f t="shared" si="25"/>
        <v/>
      </c>
      <c r="X47" s="154" t="str">
        <f t="shared" si="26"/>
        <v/>
      </c>
      <c r="Y47" s="111" t="str">
        <f t="shared" si="27"/>
        <v/>
      </c>
      <c r="Z47" s="154" t="str">
        <f t="shared" si="28"/>
        <v/>
      </c>
      <c r="AA47" s="111" t="str">
        <f t="shared" si="29"/>
        <v/>
      </c>
      <c r="AB47" s="111" t="str">
        <f t="shared" si="3"/>
        <v/>
      </c>
      <c r="AC47" s="851" t="str">
        <f t="shared" si="17"/>
        <v/>
      </c>
      <c r="AD47" s="32" t="str">
        <f t="shared" si="4"/>
        <v/>
      </c>
      <c r="AE47" s="154" t="str">
        <f t="shared" si="5"/>
        <v/>
      </c>
      <c r="AF47" s="7"/>
      <c r="AG47" s="280" t="str">
        <f t="shared" si="18"/>
        <v/>
      </c>
      <c r="AH47" s="603"/>
      <c r="AI47" s="252" t="str" cm="1">
        <f t="array" ref="AI47">IF(OR(AG47="",O47=""),"",_xlfn.IFS(
ROUND(IFERROR(VALUE(TRIM(SUBSTITUTE(AG47,CHAR(160),""))),0),2)&gt;
ROUND(IFERROR(VALUE(TRIM(SUBSTITUTE(O47,CHAR(160),""))),0),2),
"KO : Le montant retenu est supérieur au montant présenté. Merci de revoir la ligne de contributions ou plafonner son montant.",
ROUND(IFERROR(VALUE(TRIM(SUBSTITUTE(O47,CHAR(160),""))),0),2)=0,
"",
ROUND(IFERROR(VALUE(TRIM(SUBSTITUTE(AG47,CHAR(160),""))),0),2)=
ROUND(IFERROR(VALUE(TRIM(SUBSTITUTE(O47,CHAR(160),""))),0),2),
"OK",
ROUND(IFERROR(VALUE(TRIM(SUBSTITUTE(AG47,CHAR(160),""))),0),2)=0,
"Attention : Montant présenté entièrement rejeté.",
ROUND(IFERROR(VALUE(TRIM(SUBSTITUTE(AG47,CHAR(160),""))),0),2)&lt;
ROUND(IFERROR(VALUE(TRIM(SUBSTITUTE(O47,CHAR(160),""))),0),2),
"Attention : Montant présenté partiellement rejeté.",
TRUE,""
))</f>
        <v/>
      </c>
      <c r="AJ47" s="251" t="str">
        <f t="shared" si="19"/>
        <v/>
      </c>
    </row>
    <row r="48" spans="1:36" ht="15" customHeight="1">
      <c r="A48" s="193">
        <v>44</v>
      </c>
      <c r="B48" s="268"/>
      <c r="C48" s="7"/>
      <c r="D48" s="7"/>
      <c r="E48" s="12"/>
      <c r="F48" s="7"/>
      <c r="G48" s="13"/>
      <c r="H48" s="7"/>
      <c r="I48" s="10"/>
      <c r="J48" s="14"/>
      <c r="K48" s="10"/>
      <c r="L48" s="10"/>
      <c r="M48" s="851" t="str">
        <f t="shared" si="0"/>
        <v/>
      </c>
      <c r="N48" s="15"/>
      <c r="O48" s="280" t="str">
        <f t="shared" si="1"/>
        <v/>
      </c>
      <c r="P48" s="7"/>
      <c r="Q48" s="192"/>
      <c r="R48" s="190" t="str">
        <f t="shared" si="20"/>
        <v/>
      </c>
      <c r="S48" s="154" t="str">
        <f t="shared" si="21"/>
        <v/>
      </c>
      <c r="T48" s="154" t="str">
        <f t="shared" si="22"/>
        <v/>
      </c>
      <c r="U48" s="154" t="str">
        <f t="shared" si="23"/>
        <v/>
      </c>
      <c r="V48" s="154" t="str">
        <f t="shared" si="24"/>
        <v/>
      </c>
      <c r="W48" s="110" t="str">
        <f t="shared" si="25"/>
        <v/>
      </c>
      <c r="X48" s="154" t="str">
        <f t="shared" si="26"/>
        <v/>
      </c>
      <c r="Y48" s="111" t="str">
        <f t="shared" si="27"/>
        <v/>
      </c>
      <c r="Z48" s="154" t="str">
        <f t="shared" si="28"/>
        <v/>
      </c>
      <c r="AA48" s="111" t="str">
        <f t="shared" si="29"/>
        <v/>
      </c>
      <c r="AB48" s="111" t="str">
        <f t="shared" si="3"/>
        <v/>
      </c>
      <c r="AC48" s="851" t="str">
        <f t="shared" si="17"/>
        <v/>
      </c>
      <c r="AD48" s="32" t="str">
        <f t="shared" si="4"/>
        <v/>
      </c>
      <c r="AE48" s="154" t="str">
        <f t="shared" si="5"/>
        <v/>
      </c>
      <c r="AF48" s="7"/>
      <c r="AG48" s="280" t="str">
        <f t="shared" si="18"/>
        <v/>
      </c>
      <c r="AH48" s="603"/>
      <c r="AI48" s="252" t="str" cm="1">
        <f t="array" ref="AI48">IF(OR(AG48="",O48=""),"",_xlfn.IFS(
ROUND(IFERROR(VALUE(TRIM(SUBSTITUTE(AG48,CHAR(160),""))),0),2)&gt;
ROUND(IFERROR(VALUE(TRIM(SUBSTITUTE(O48,CHAR(160),""))),0),2),
"KO : Le montant retenu est supérieur au montant présenté. Merci de revoir la ligne de contributions ou plafonner son montant.",
ROUND(IFERROR(VALUE(TRIM(SUBSTITUTE(O48,CHAR(160),""))),0),2)=0,
"",
ROUND(IFERROR(VALUE(TRIM(SUBSTITUTE(AG48,CHAR(160),""))),0),2)=
ROUND(IFERROR(VALUE(TRIM(SUBSTITUTE(O48,CHAR(160),""))),0),2),
"OK",
ROUND(IFERROR(VALUE(TRIM(SUBSTITUTE(AG48,CHAR(160),""))),0),2)=0,
"Attention : Montant présenté entièrement rejeté.",
ROUND(IFERROR(VALUE(TRIM(SUBSTITUTE(AG48,CHAR(160),""))),0),2)&lt;
ROUND(IFERROR(VALUE(TRIM(SUBSTITUTE(O48,CHAR(160),""))),0),2),
"Attention : Montant présenté partiellement rejeté.",
TRUE,""
))</f>
        <v/>
      </c>
      <c r="AJ48" s="251" t="str">
        <f t="shared" si="19"/>
        <v/>
      </c>
    </row>
    <row r="49" spans="1:36" ht="15" customHeight="1">
      <c r="A49" s="193">
        <v>45</v>
      </c>
      <c r="B49" s="268"/>
      <c r="C49" s="7"/>
      <c r="D49" s="7"/>
      <c r="E49" s="12"/>
      <c r="F49" s="7"/>
      <c r="G49" s="13"/>
      <c r="H49" s="7"/>
      <c r="I49" s="10"/>
      <c r="J49" s="14"/>
      <c r="K49" s="10"/>
      <c r="L49" s="10"/>
      <c r="M49" s="851" t="str">
        <f t="shared" si="0"/>
        <v/>
      </c>
      <c r="N49" s="15"/>
      <c r="O49" s="280" t="str">
        <f t="shared" si="1"/>
        <v/>
      </c>
      <c r="P49" s="7"/>
      <c r="Q49" s="192"/>
      <c r="R49" s="190" t="str">
        <f t="shared" si="20"/>
        <v/>
      </c>
      <c r="S49" s="154" t="str">
        <f t="shared" si="21"/>
        <v/>
      </c>
      <c r="T49" s="154" t="str">
        <f t="shared" si="22"/>
        <v/>
      </c>
      <c r="U49" s="154" t="str">
        <f t="shared" si="23"/>
        <v/>
      </c>
      <c r="V49" s="154" t="str">
        <f t="shared" si="24"/>
        <v/>
      </c>
      <c r="W49" s="110" t="str">
        <f t="shared" si="25"/>
        <v/>
      </c>
      <c r="X49" s="154" t="str">
        <f t="shared" si="26"/>
        <v/>
      </c>
      <c r="Y49" s="111" t="str">
        <f t="shared" si="27"/>
        <v/>
      </c>
      <c r="Z49" s="154" t="str">
        <f t="shared" si="28"/>
        <v/>
      </c>
      <c r="AA49" s="111" t="str">
        <f t="shared" si="29"/>
        <v/>
      </c>
      <c r="AB49" s="111" t="str">
        <f t="shared" si="3"/>
        <v/>
      </c>
      <c r="AC49" s="851" t="str">
        <f t="shared" si="17"/>
        <v/>
      </c>
      <c r="AD49" s="32" t="str">
        <f t="shared" si="4"/>
        <v/>
      </c>
      <c r="AE49" s="154" t="str">
        <f t="shared" si="5"/>
        <v/>
      </c>
      <c r="AF49" s="7"/>
      <c r="AG49" s="280" t="str">
        <f t="shared" si="18"/>
        <v/>
      </c>
      <c r="AH49" s="603"/>
      <c r="AI49" s="252" t="str" cm="1">
        <f t="array" ref="AI49">IF(OR(AG49="",O49=""),"",_xlfn.IFS(
ROUND(IFERROR(VALUE(TRIM(SUBSTITUTE(AG49,CHAR(160),""))),0),2)&gt;
ROUND(IFERROR(VALUE(TRIM(SUBSTITUTE(O49,CHAR(160),""))),0),2),
"KO : Le montant retenu est supérieur au montant présenté. Merci de revoir la ligne de contributions ou plafonner son montant.",
ROUND(IFERROR(VALUE(TRIM(SUBSTITUTE(O49,CHAR(160),""))),0),2)=0,
"",
ROUND(IFERROR(VALUE(TRIM(SUBSTITUTE(AG49,CHAR(160),""))),0),2)=
ROUND(IFERROR(VALUE(TRIM(SUBSTITUTE(O49,CHAR(160),""))),0),2),
"OK",
ROUND(IFERROR(VALUE(TRIM(SUBSTITUTE(AG49,CHAR(160),""))),0),2)=0,
"Attention : Montant présenté entièrement rejeté.",
ROUND(IFERROR(VALUE(TRIM(SUBSTITUTE(AG49,CHAR(160),""))),0),2)&lt;
ROUND(IFERROR(VALUE(TRIM(SUBSTITUTE(O49,CHAR(160),""))),0),2),
"Attention : Montant présenté partiellement rejeté.",
TRUE,""
))</f>
        <v/>
      </c>
      <c r="AJ49" s="251" t="str">
        <f t="shared" si="19"/>
        <v/>
      </c>
    </row>
    <row r="50" spans="1:36" ht="15" customHeight="1">
      <c r="A50" s="193">
        <v>46</v>
      </c>
      <c r="B50" s="268"/>
      <c r="C50" s="7"/>
      <c r="D50" s="7"/>
      <c r="E50" s="12"/>
      <c r="F50" s="7"/>
      <c r="G50" s="13"/>
      <c r="H50" s="7"/>
      <c r="I50" s="10"/>
      <c r="J50" s="14"/>
      <c r="K50" s="10"/>
      <c r="L50" s="10"/>
      <c r="M50" s="851" t="str">
        <f t="shared" si="0"/>
        <v/>
      </c>
      <c r="N50" s="15"/>
      <c r="O50" s="280" t="str">
        <f t="shared" si="1"/>
        <v/>
      </c>
      <c r="P50" s="7"/>
      <c r="Q50" s="192"/>
      <c r="R50" s="190" t="str">
        <f t="shared" si="20"/>
        <v/>
      </c>
      <c r="S50" s="154" t="str">
        <f t="shared" si="21"/>
        <v/>
      </c>
      <c r="T50" s="154" t="str">
        <f t="shared" si="22"/>
        <v/>
      </c>
      <c r="U50" s="154" t="str">
        <f t="shared" si="23"/>
        <v/>
      </c>
      <c r="V50" s="154" t="str">
        <f t="shared" si="24"/>
        <v/>
      </c>
      <c r="W50" s="110" t="str">
        <f t="shared" si="25"/>
        <v/>
      </c>
      <c r="X50" s="154" t="str">
        <f t="shared" si="26"/>
        <v/>
      </c>
      <c r="Y50" s="111" t="str">
        <f t="shared" si="27"/>
        <v/>
      </c>
      <c r="Z50" s="154" t="str">
        <f t="shared" si="28"/>
        <v/>
      </c>
      <c r="AA50" s="111" t="str">
        <f t="shared" si="29"/>
        <v/>
      </c>
      <c r="AB50" s="111" t="str">
        <f t="shared" si="3"/>
        <v/>
      </c>
      <c r="AC50" s="851" t="str">
        <f t="shared" si="17"/>
        <v/>
      </c>
      <c r="AD50" s="32" t="str">
        <f t="shared" si="4"/>
        <v/>
      </c>
      <c r="AE50" s="154" t="str">
        <f t="shared" si="5"/>
        <v/>
      </c>
      <c r="AF50" s="7"/>
      <c r="AG50" s="280" t="str">
        <f t="shared" si="18"/>
        <v/>
      </c>
      <c r="AH50" s="603"/>
      <c r="AI50" s="252" t="str" cm="1">
        <f t="array" ref="AI50">IF(OR(AG50="",O50=""),"",_xlfn.IFS(
ROUND(IFERROR(VALUE(TRIM(SUBSTITUTE(AG50,CHAR(160),""))),0),2)&gt;
ROUND(IFERROR(VALUE(TRIM(SUBSTITUTE(O50,CHAR(160),""))),0),2),
"KO : Le montant retenu est supérieur au montant présenté. Merci de revoir la ligne de contributions ou plafonner son montant.",
ROUND(IFERROR(VALUE(TRIM(SUBSTITUTE(O50,CHAR(160),""))),0),2)=0,
"",
ROUND(IFERROR(VALUE(TRIM(SUBSTITUTE(AG50,CHAR(160),""))),0),2)=
ROUND(IFERROR(VALUE(TRIM(SUBSTITUTE(O50,CHAR(160),""))),0),2),
"OK",
ROUND(IFERROR(VALUE(TRIM(SUBSTITUTE(AG50,CHAR(160),""))),0),2)=0,
"Attention : Montant présenté entièrement rejeté.",
ROUND(IFERROR(VALUE(TRIM(SUBSTITUTE(AG50,CHAR(160),""))),0),2)&lt;
ROUND(IFERROR(VALUE(TRIM(SUBSTITUTE(O50,CHAR(160),""))),0),2),
"Attention : Montant présenté partiellement rejeté.",
TRUE,""
))</f>
        <v/>
      </c>
      <c r="AJ50" s="251" t="str">
        <f t="shared" si="19"/>
        <v/>
      </c>
    </row>
    <row r="51" spans="1:36" ht="15" customHeight="1">
      <c r="A51" s="193">
        <v>47</v>
      </c>
      <c r="B51" s="268"/>
      <c r="C51" s="7"/>
      <c r="D51" s="7"/>
      <c r="E51" s="12"/>
      <c r="F51" s="7"/>
      <c r="G51" s="13"/>
      <c r="H51" s="7"/>
      <c r="I51" s="10"/>
      <c r="J51" s="14"/>
      <c r="K51" s="10"/>
      <c r="L51" s="10"/>
      <c r="M51" s="851" t="str">
        <f t="shared" si="0"/>
        <v/>
      </c>
      <c r="N51" s="15"/>
      <c r="O51" s="280" t="str">
        <f t="shared" si="1"/>
        <v/>
      </c>
      <c r="P51" s="7"/>
      <c r="Q51" s="192"/>
      <c r="R51" s="190" t="str">
        <f t="shared" si="20"/>
        <v/>
      </c>
      <c r="S51" s="154" t="str">
        <f t="shared" si="21"/>
        <v/>
      </c>
      <c r="T51" s="154" t="str">
        <f t="shared" si="22"/>
        <v/>
      </c>
      <c r="U51" s="154" t="str">
        <f t="shared" si="23"/>
        <v/>
      </c>
      <c r="V51" s="154" t="str">
        <f t="shared" si="24"/>
        <v/>
      </c>
      <c r="W51" s="110" t="str">
        <f t="shared" si="25"/>
        <v/>
      </c>
      <c r="X51" s="154" t="str">
        <f t="shared" si="26"/>
        <v/>
      </c>
      <c r="Y51" s="111" t="str">
        <f t="shared" si="27"/>
        <v/>
      </c>
      <c r="Z51" s="154" t="str">
        <f t="shared" si="28"/>
        <v/>
      </c>
      <c r="AA51" s="111" t="str">
        <f t="shared" si="29"/>
        <v/>
      </c>
      <c r="AB51" s="111" t="str">
        <f t="shared" si="3"/>
        <v/>
      </c>
      <c r="AC51" s="851" t="str">
        <f t="shared" si="17"/>
        <v/>
      </c>
      <c r="AD51" s="32" t="str">
        <f t="shared" si="4"/>
        <v/>
      </c>
      <c r="AE51" s="154" t="str">
        <f t="shared" si="5"/>
        <v/>
      </c>
      <c r="AF51" s="7"/>
      <c r="AG51" s="280" t="str">
        <f t="shared" si="18"/>
        <v/>
      </c>
      <c r="AH51" s="603"/>
      <c r="AI51" s="252" t="str" cm="1">
        <f t="array" ref="AI51">IF(OR(AG51="",O51=""),"",_xlfn.IFS(
ROUND(IFERROR(VALUE(TRIM(SUBSTITUTE(AG51,CHAR(160),""))),0),2)&gt;
ROUND(IFERROR(VALUE(TRIM(SUBSTITUTE(O51,CHAR(160),""))),0),2),
"KO : Le montant retenu est supérieur au montant présenté. Merci de revoir la ligne de contributions ou plafonner son montant.",
ROUND(IFERROR(VALUE(TRIM(SUBSTITUTE(O51,CHAR(160),""))),0),2)=0,
"",
ROUND(IFERROR(VALUE(TRIM(SUBSTITUTE(AG51,CHAR(160),""))),0),2)=
ROUND(IFERROR(VALUE(TRIM(SUBSTITUTE(O51,CHAR(160),""))),0),2),
"OK",
ROUND(IFERROR(VALUE(TRIM(SUBSTITUTE(AG51,CHAR(160),""))),0),2)=0,
"Attention : Montant présenté entièrement rejeté.",
ROUND(IFERROR(VALUE(TRIM(SUBSTITUTE(AG51,CHAR(160),""))),0),2)&lt;
ROUND(IFERROR(VALUE(TRIM(SUBSTITUTE(O51,CHAR(160),""))),0),2),
"Attention : Montant présenté partiellement rejeté.",
TRUE,""
))</f>
        <v/>
      </c>
      <c r="AJ51" s="251" t="str">
        <f t="shared" si="19"/>
        <v/>
      </c>
    </row>
    <row r="52" spans="1:36" ht="15" customHeight="1">
      <c r="A52" s="193">
        <v>48</v>
      </c>
      <c r="B52" s="268"/>
      <c r="C52" s="7"/>
      <c r="D52" s="7"/>
      <c r="E52" s="12"/>
      <c r="F52" s="7"/>
      <c r="G52" s="13"/>
      <c r="H52" s="7"/>
      <c r="I52" s="10"/>
      <c r="J52" s="14"/>
      <c r="K52" s="10"/>
      <c r="L52" s="10"/>
      <c r="M52" s="851" t="str">
        <f t="shared" si="0"/>
        <v/>
      </c>
      <c r="N52" s="15"/>
      <c r="O52" s="280" t="str">
        <f t="shared" si="1"/>
        <v/>
      </c>
      <c r="P52" s="7"/>
      <c r="Q52" s="192"/>
      <c r="R52" s="190" t="str">
        <f t="shared" si="20"/>
        <v/>
      </c>
      <c r="S52" s="154" t="str">
        <f t="shared" si="21"/>
        <v/>
      </c>
      <c r="T52" s="154" t="str">
        <f t="shared" si="22"/>
        <v/>
      </c>
      <c r="U52" s="154" t="str">
        <f t="shared" si="23"/>
        <v/>
      </c>
      <c r="V52" s="154" t="str">
        <f t="shared" si="24"/>
        <v/>
      </c>
      <c r="W52" s="110" t="str">
        <f t="shared" si="25"/>
        <v/>
      </c>
      <c r="X52" s="154" t="str">
        <f t="shared" si="26"/>
        <v/>
      </c>
      <c r="Y52" s="111" t="str">
        <f t="shared" si="27"/>
        <v/>
      </c>
      <c r="Z52" s="154" t="str">
        <f t="shared" si="28"/>
        <v/>
      </c>
      <c r="AA52" s="111" t="str">
        <f t="shared" si="29"/>
        <v/>
      </c>
      <c r="AB52" s="111" t="str">
        <f t="shared" si="3"/>
        <v/>
      </c>
      <c r="AC52" s="851" t="str">
        <f t="shared" si="17"/>
        <v/>
      </c>
      <c r="AD52" s="32" t="str">
        <f t="shared" si="4"/>
        <v/>
      </c>
      <c r="AE52" s="154" t="str">
        <f t="shared" si="5"/>
        <v/>
      </c>
      <c r="AF52" s="7"/>
      <c r="AG52" s="280" t="str">
        <f t="shared" si="18"/>
        <v/>
      </c>
      <c r="AH52" s="603"/>
      <c r="AI52" s="252" t="str" cm="1">
        <f t="array" ref="AI52">IF(OR(AG52="",O52=""),"",_xlfn.IFS(
ROUND(IFERROR(VALUE(TRIM(SUBSTITUTE(AG52,CHAR(160),""))),0),2)&gt;
ROUND(IFERROR(VALUE(TRIM(SUBSTITUTE(O52,CHAR(160),""))),0),2),
"KO : Le montant retenu est supérieur au montant présenté. Merci de revoir la ligne de contributions ou plafonner son montant.",
ROUND(IFERROR(VALUE(TRIM(SUBSTITUTE(O52,CHAR(160),""))),0),2)=0,
"",
ROUND(IFERROR(VALUE(TRIM(SUBSTITUTE(AG52,CHAR(160),""))),0),2)=
ROUND(IFERROR(VALUE(TRIM(SUBSTITUTE(O52,CHAR(160),""))),0),2),
"OK",
ROUND(IFERROR(VALUE(TRIM(SUBSTITUTE(AG52,CHAR(160),""))),0),2)=0,
"Attention : Montant présenté entièrement rejeté.",
ROUND(IFERROR(VALUE(TRIM(SUBSTITUTE(AG52,CHAR(160),""))),0),2)&lt;
ROUND(IFERROR(VALUE(TRIM(SUBSTITUTE(O52,CHAR(160),""))),0),2),
"Attention : Montant présenté partiellement rejeté.",
TRUE,""
))</f>
        <v/>
      </c>
      <c r="AJ52" s="251" t="str">
        <f t="shared" si="19"/>
        <v/>
      </c>
    </row>
    <row r="53" spans="1:36" ht="15" customHeight="1">
      <c r="A53" s="193">
        <v>49</v>
      </c>
      <c r="B53" s="268"/>
      <c r="C53" s="7"/>
      <c r="D53" s="7"/>
      <c r="E53" s="12"/>
      <c r="F53" s="7"/>
      <c r="G53" s="13"/>
      <c r="H53" s="7"/>
      <c r="I53" s="10"/>
      <c r="J53" s="14"/>
      <c r="K53" s="10"/>
      <c r="L53" s="10"/>
      <c r="M53" s="851" t="str">
        <f t="shared" si="0"/>
        <v/>
      </c>
      <c r="N53" s="15"/>
      <c r="O53" s="280" t="str">
        <f t="shared" si="1"/>
        <v/>
      </c>
      <c r="P53" s="7"/>
      <c r="Q53" s="192"/>
      <c r="R53" s="190" t="str">
        <f t="shared" si="20"/>
        <v/>
      </c>
      <c r="S53" s="154" t="str">
        <f t="shared" si="21"/>
        <v/>
      </c>
      <c r="T53" s="154" t="str">
        <f t="shared" si="22"/>
        <v/>
      </c>
      <c r="U53" s="154" t="str">
        <f t="shared" si="23"/>
        <v/>
      </c>
      <c r="V53" s="154" t="str">
        <f t="shared" si="24"/>
        <v/>
      </c>
      <c r="W53" s="110" t="str">
        <f t="shared" si="25"/>
        <v/>
      </c>
      <c r="X53" s="154" t="str">
        <f t="shared" si="26"/>
        <v/>
      </c>
      <c r="Y53" s="111" t="str">
        <f t="shared" si="27"/>
        <v/>
      </c>
      <c r="Z53" s="154" t="str">
        <f t="shared" si="28"/>
        <v/>
      </c>
      <c r="AA53" s="111" t="str">
        <f t="shared" si="29"/>
        <v/>
      </c>
      <c r="AB53" s="111" t="str">
        <f t="shared" si="3"/>
        <v/>
      </c>
      <c r="AC53" s="851" t="str">
        <f t="shared" si="17"/>
        <v/>
      </c>
      <c r="AD53" s="32" t="str">
        <f t="shared" si="4"/>
        <v/>
      </c>
      <c r="AE53" s="154" t="str">
        <f t="shared" si="5"/>
        <v/>
      </c>
      <c r="AF53" s="7"/>
      <c r="AG53" s="280" t="str">
        <f t="shared" si="18"/>
        <v/>
      </c>
      <c r="AH53" s="603"/>
      <c r="AI53" s="252" t="str" cm="1">
        <f t="array" ref="AI53">IF(OR(AG53="",O53=""),"",_xlfn.IFS(
ROUND(IFERROR(VALUE(TRIM(SUBSTITUTE(AG53,CHAR(160),""))),0),2)&gt;
ROUND(IFERROR(VALUE(TRIM(SUBSTITUTE(O53,CHAR(160),""))),0),2),
"KO : Le montant retenu est supérieur au montant présenté. Merci de revoir la ligne de contributions ou plafonner son montant.",
ROUND(IFERROR(VALUE(TRIM(SUBSTITUTE(O53,CHAR(160),""))),0),2)=0,
"",
ROUND(IFERROR(VALUE(TRIM(SUBSTITUTE(AG53,CHAR(160),""))),0),2)=
ROUND(IFERROR(VALUE(TRIM(SUBSTITUTE(O53,CHAR(160),""))),0),2),
"OK",
ROUND(IFERROR(VALUE(TRIM(SUBSTITUTE(AG53,CHAR(160),""))),0),2)=0,
"Attention : Montant présenté entièrement rejeté.",
ROUND(IFERROR(VALUE(TRIM(SUBSTITUTE(AG53,CHAR(160),""))),0),2)&lt;
ROUND(IFERROR(VALUE(TRIM(SUBSTITUTE(O53,CHAR(160),""))),0),2),
"Attention : Montant présenté partiellement rejeté.",
TRUE,""
))</f>
        <v/>
      </c>
      <c r="AJ53" s="251" t="str">
        <f t="shared" si="19"/>
        <v/>
      </c>
    </row>
    <row r="54" spans="1:36" ht="15" customHeight="1">
      <c r="A54" s="193">
        <v>50</v>
      </c>
      <c r="B54" s="268"/>
      <c r="C54" s="7"/>
      <c r="D54" s="7"/>
      <c r="E54" s="12"/>
      <c r="F54" s="7"/>
      <c r="G54" s="13"/>
      <c r="H54" s="7"/>
      <c r="I54" s="10"/>
      <c r="J54" s="14"/>
      <c r="K54" s="10"/>
      <c r="L54" s="10"/>
      <c r="M54" s="851" t="str">
        <f t="shared" si="0"/>
        <v/>
      </c>
      <c r="N54" s="15"/>
      <c r="O54" s="280" t="str">
        <f t="shared" si="1"/>
        <v/>
      </c>
      <c r="P54" s="7"/>
      <c r="Q54" s="192"/>
      <c r="R54" s="190" t="str">
        <f t="shared" si="20"/>
        <v/>
      </c>
      <c r="S54" s="154" t="str">
        <f t="shared" si="21"/>
        <v/>
      </c>
      <c r="T54" s="154" t="str">
        <f t="shared" si="22"/>
        <v/>
      </c>
      <c r="U54" s="154" t="str">
        <f t="shared" si="23"/>
        <v/>
      </c>
      <c r="V54" s="154" t="str">
        <f t="shared" si="24"/>
        <v/>
      </c>
      <c r="W54" s="110" t="str">
        <f t="shared" si="25"/>
        <v/>
      </c>
      <c r="X54" s="154" t="str">
        <f t="shared" si="26"/>
        <v/>
      </c>
      <c r="Y54" s="111" t="str">
        <f t="shared" si="27"/>
        <v/>
      </c>
      <c r="Z54" s="154" t="str">
        <f t="shared" si="28"/>
        <v/>
      </c>
      <c r="AA54" s="111" t="str">
        <f t="shared" si="29"/>
        <v/>
      </c>
      <c r="AB54" s="111" t="str">
        <f t="shared" si="3"/>
        <v/>
      </c>
      <c r="AC54" s="851" t="str">
        <f t="shared" si="17"/>
        <v/>
      </c>
      <c r="AD54" s="32" t="str">
        <f t="shared" si="4"/>
        <v/>
      </c>
      <c r="AE54" s="154" t="str">
        <f t="shared" si="5"/>
        <v/>
      </c>
      <c r="AF54" s="7"/>
      <c r="AG54" s="280" t="str">
        <f t="shared" si="18"/>
        <v/>
      </c>
      <c r="AH54" s="603"/>
      <c r="AI54" s="252" t="str" cm="1">
        <f t="array" ref="AI54">IF(OR(AG54="",O54=""),"",_xlfn.IFS(
ROUND(IFERROR(VALUE(TRIM(SUBSTITUTE(AG54,CHAR(160),""))),0),2)&gt;
ROUND(IFERROR(VALUE(TRIM(SUBSTITUTE(O54,CHAR(160),""))),0),2),
"KO : Le montant retenu est supérieur au montant présenté. Merci de revoir la ligne de contributions ou plafonner son montant.",
ROUND(IFERROR(VALUE(TRIM(SUBSTITUTE(O54,CHAR(160),""))),0),2)=0,
"",
ROUND(IFERROR(VALUE(TRIM(SUBSTITUTE(AG54,CHAR(160),""))),0),2)=
ROUND(IFERROR(VALUE(TRIM(SUBSTITUTE(O54,CHAR(160),""))),0),2),
"OK",
ROUND(IFERROR(VALUE(TRIM(SUBSTITUTE(AG54,CHAR(160),""))),0),2)=0,
"Attention : Montant présenté entièrement rejeté.",
ROUND(IFERROR(VALUE(TRIM(SUBSTITUTE(AG54,CHAR(160),""))),0),2)&lt;
ROUND(IFERROR(VALUE(TRIM(SUBSTITUTE(O54,CHAR(160),""))),0),2),
"Attention : Montant présenté partiellement rejeté.",
TRUE,""
))</f>
        <v/>
      </c>
      <c r="AJ54" s="251" t="str">
        <f t="shared" si="19"/>
        <v/>
      </c>
    </row>
    <row r="55" spans="1:36" ht="15" customHeight="1">
      <c r="A55" s="193">
        <v>51</v>
      </c>
      <c r="B55" s="268"/>
      <c r="C55" s="7"/>
      <c r="D55" s="7"/>
      <c r="E55" s="12"/>
      <c r="F55" s="7"/>
      <c r="G55" s="13"/>
      <c r="H55" s="7"/>
      <c r="I55" s="10"/>
      <c r="J55" s="14"/>
      <c r="K55" s="10"/>
      <c r="L55" s="10"/>
      <c r="M55" s="851" t="str">
        <f t="shared" si="0"/>
        <v/>
      </c>
      <c r="N55" s="15"/>
      <c r="O55" s="280" t="str">
        <f t="shared" si="1"/>
        <v/>
      </c>
      <c r="P55" s="7"/>
      <c r="Q55" s="192"/>
      <c r="R55" s="190" t="str">
        <f t="shared" si="20"/>
        <v/>
      </c>
      <c r="S55" s="154" t="str">
        <f t="shared" si="21"/>
        <v/>
      </c>
      <c r="T55" s="154" t="str">
        <f t="shared" si="22"/>
        <v/>
      </c>
      <c r="U55" s="154" t="str">
        <f t="shared" si="23"/>
        <v/>
      </c>
      <c r="V55" s="154" t="str">
        <f t="shared" si="24"/>
        <v/>
      </c>
      <c r="W55" s="110" t="str">
        <f t="shared" si="25"/>
        <v/>
      </c>
      <c r="X55" s="154" t="str">
        <f t="shared" si="26"/>
        <v/>
      </c>
      <c r="Y55" s="111" t="str">
        <f t="shared" si="27"/>
        <v/>
      </c>
      <c r="Z55" s="154" t="str">
        <f t="shared" si="28"/>
        <v/>
      </c>
      <c r="AA55" s="111" t="str">
        <f t="shared" si="29"/>
        <v/>
      </c>
      <c r="AB55" s="111" t="str">
        <f t="shared" si="3"/>
        <v/>
      </c>
      <c r="AC55" s="851" t="str">
        <f t="shared" si="17"/>
        <v/>
      </c>
      <c r="AD55" s="32" t="str">
        <f t="shared" si="4"/>
        <v/>
      </c>
      <c r="AE55" s="154" t="str">
        <f t="shared" si="5"/>
        <v/>
      </c>
      <c r="AF55" s="7"/>
      <c r="AG55" s="280" t="str">
        <f t="shared" si="18"/>
        <v/>
      </c>
      <c r="AH55" s="603"/>
      <c r="AI55" s="252" t="str" cm="1">
        <f t="array" ref="AI55">IF(OR(AG55="",O55=""),"",_xlfn.IFS(
ROUND(IFERROR(VALUE(TRIM(SUBSTITUTE(AG55,CHAR(160),""))),0),2)&gt;
ROUND(IFERROR(VALUE(TRIM(SUBSTITUTE(O55,CHAR(160),""))),0),2),
"KO : Le montant retenu est supérieur au montant présenté. Merci de revoir la ligne de contributions ou plafonner son montant.",
ROUND(IFERROR(VALUE(TRIM(SUBSTITUTE(O55,CHAR(160),""))),0),2)=0,
"",
ROUND(IFERROR(VALUE(TRIM(SUBSTITUTE(AG55,CHAR(160),""))),0),2)=
ROUND(IFERROR(VALUE(TRIM(SUBSTITUTE(O55,CHAR(160),""))),0),2),
"OK",
ROUND(IFERROR(VALUE(TRIM(SUBSTITUTE(AG55,CHAR(160),""))),0),2)=0,
"Attention : Montant présenté entièrement rejeté.",
ROUND(IFERROR(VALUE(TRIM(SUBSTITUTE(AG55,CHAR(160),""))),0),2)&lt;
ROUND(IFERROR(VALUE(TRIM(SUBSTITUTE(O55,CHAR(160),""))),0),2),
"Attention : Montant présenté partiellement rejeté.",
TRUE,""
))</f>
        <v/>
      </c>
      <c r="AJ55" s="251" t="str">
        <f t="shared" si="19"/>
        <v/>
      </c>
    </row>
    <row r="56" spans="1:36" ht="15" customHeight="1">
      <c r="A56" s="193">
        <v>52</v>
      </c>
      <c r="B56" s="268"/>
      <c r="C56" s="7"/>
      <c r="D56" s="7"/>
      <c r="E56" s="12"/>
      <c r="F56" s="7"/>
      <c r="G56" s="13"/>
      <c r="H56" s="7"/>
      <c r="I56" s="10"/>
      <c r="J56" s="14"/>
      <c r="K56" s="10"/>
      <c r="L56" s="10"/>
      <c r="M56" s="851" t="str">
        <f t="shared" si="0"/>
        <v/>
      </c>
      <c r="N56" s="15"/>
      <c r="O56" s="280" t="str">
        <f t="shared" si="1"/>
        <v/>
      </c>
      <c r="P56" s="7"/>
      <c r="Q56" s="192"/>
      <c r="R56" s="190" t="str">
        <f t="shared" si="20"/>
        <v/>
      </c>
      <c r="S56" s="154" t="str">
        <f t="shared" si="21"/>
        <v/>
      </c>
      <c r="T56" s="154" t="str">
        <f t="shared" si="22"/>
        <v/>
      </c>
      <c r="U56" s="154" t="str">
        <f t="shared" si="23"/>
        <v/>
      </c>
      <c r="V56" s="154" t="str">
        <f t="shared" si="24"/>
        <v/>
      </c>
      <c r="W56" s="110" t="str">
        <f t="shared" si="25"/>
        <v/>
      </c>
      <c r="X56" s="154" t="str">
        <f t="shared" si="26"/>
        <v/>
      </c>
      <c r="Y56" s="111" t="str">
        <f t="shared" si="27"/>
        <v/>
      </c>
      <c r="Z56" s="154" t="str">
        <f t="shared" si="28"/>
        <v/>
      </c>
      <c r="AA56" s="111" t="str">
        <f t="shared" si="29"/>
        <v/>
      </c>
      <c r="AB56" s="111" t="str">
        <f t="shared" si="3"/>
        <v/>
      </c>
      <c r="AC56" s="851" t="str">
        <f t="shared" si="17"/>
        <v/>
      </c>
      <c r="AD56" s="32" t="str">
        <f t="shared" si="4"/>
        <v/>
      </c>
      <c r="AE56" s="154" t="str">
        <f t="shared" si="5"/>
        <v/>
      </c>
      <c r="AF56" s="7"/>
      <c r="AG56" s="280" t="str">
        <f t="shared" si="18"/>
        <v/>
      </c>
      <c r="AH56" s="603"/>
      <c r="AI56" s="252" t="str" cm="1">
        <f t="array" ref="AI56">IF(OR(AG56="",O56=""),"",_xlfn.IFS(
ROUND(IFERROR(VALUE(TRIM(SUBSTITUTE(AG56,CHAR(160),""))),0),2)&gt;
ROUND(IFERROR(VALUE(TRIM(SUBSTITUTE(O56,CHAR(160),""))),0),2),
"KO : Le montant retenu est supérieur au montant présenté. Merci de revoir la ligne de contributions ou plafonner son montant.",
ROUND(IFERROR(VALUE(TRIM(SUBSTITUTE(O56,CHAR(160),""))),0),2)=0,
"",
ROUND(IFERROR(VALUE(TRIM(SUBSTITUTE(AG56,CHAR(160),""))),0),2)=
ROUND(IFERROR(VALUE(TRIM(SUBSTITUTE(O56,CHAR(160),""))),0),2),
"OK",
ROUND(IFERROR(VALUE(TRIM(SUBSTITUTE(AG56,CHAR(160),""))),0),2)=0,
"Attention : Montant présenté entièrement rejeté.",
ROUND(IFERROR(VALUE(TRIM(SUBSTITUTE(AG56,CHAR(160),""))),0),2)&lt;
ROUND(IFERROR(VALUE(TRIM(SUBSTITUTE(O56,CHAR(160),""))),0),2),
"Attention : Montant présenté partiellement rejeté.",
TRUE,""
))</f>
        <v/>
      </c>
      <c r="AJ56" s="251" t="str">
        <f t="shared" si="19"/>
        <v/>
      </c>
    </row>
    <row r="57" spans="1:36" ht="15" customHeight="1">
      <c r="A57" s="193">
        <v>53</v>
      </c>
      <c r="B57" s="268"/>
      <c r="C57" s="7"/>
      <c r="D57" s="7"/>
      <c r="E57" s="12"/>
      <c r="F57" s="7"/>
      <c r="G57" s="13"/>
      <c r="H57" s="7"/>
      <c r="I57" s="10"/>
      <c r="J57" s="14"/>
      <c r="K57" s="10"/>
      <c r="L57" s="10"/>
      <c r="M57" s="851" t="str">
        <f t="shared" si="0"/>
        <v/>
      </c>
      <c r="N57" s="15"/>
      <c r="O57" s="280" t="str">
        <f t="shared" si="1"/>
        <v/>
      </c>
      <c r="P57" s="7"/>
      <c r="Q57" s="192"/>
      <c r="R57" s="190" t="str">
        <f t="shared" si="20"/>
        <v/>
      </c>
      <c r="S57" s="154" t="str">
        <f t="shared" si="21"/>
        <v/>
      </c>
      <c r="T57" s="154" t="str">
        <f t="shared" si="22"/>
        <v/>
      </c>
      <c r="U57" s="154" t="str">
        <f t="shared" si="23"/>
        <v/>
      </c>
      <c r="V57" s="154" t="str">
        <f t="shared" si="24"/>
        <v/>
      </c>
      <c r="W57" s="110" t="str">
        <f t="shared" si="25"/>
        <v/>
      </c>
      <c r="X57" s="154" t="str">
        <f t="shared" si="26"/>
        <v/>
      </c>
      <c r="Y57" s="111" t="str">
        <f t="shared" si="27"/>
        <v/>
      </c>
      <c r="Z57" s="154" t="str">
        <f t="shared" si="28"/>
        <v/>
      </c>
      <c r="AA57" s="111" t="str">
        <f t="shared" si="29"/>
        <v/>
      </c>
      <c r="AB57" s="111" t="str">
        <f t="shared" si="3"/>
        <v/>
      </c>
      <c r="AC57" s="851" t="str">
        <f t="shared" si="17"/>
        <v/>
      </c>
      <c r="AD57" s="32" t="str">
        <f t="shared" si="4"/>
        <v/>
      </c>
      <c r="AE57" s="154" t="str">
        <f t="shared" si="5"/>
        <v/>
      </c>
      <c r="AF57" s="7"/>
      <c r="AG57" s="280" t="str">
        <f t="shared" si="18"/>
        <v/>
      </c>
      <c r="AH57" s="603"/>
      <c r="AI57" s="252" t="str" cm="1">
        <f t="array" ref="AI57">IF(OR(AG57="",O57=""),"",_xlfn.IFS(
ROUND(IFERROR(VALUE(TRIM(SUBSTITUTE(AG57,CHAR(160),""))),0),2)&gt;
ROUND(IFERROR(VALUE(TRIM(SUBSTITUTE(O57,CHAR(160),""))),0),2),
"KO : Le montant retenu est supérieur au montant présenté. Merci de revoir la ligne de contributions ou plafonner son montant.",
ROUND(IFERROR(VALUE(TRIM(SUBSTITUTE(O57,CHAR(160),""))),0),2)=0,
"",
ROUND(IFERROR(VALUE(TRIM(SUBSTITUTE(AG57,CHAR(160),""))),0),2)=
ROUND(IFERROR(VALUE(TRIM(SUBSTITUTE(O57,CHAR(160),""))),0),2),
"OK",
ROUND(IFERROR(VALUE(TRIM(SUBSTITUTE(AG57,CHAR(160),""))),0),2)=0,
"Attention : Montant présenté entièrement rejeté.",
ROUND(IFERROR(VALUE(TRIM(SUBSTITUTE(AG57,CHAR(160),""))),0),2)&lt;
ROUND(IFERROR(VALUE(TRIM(SUBSTITUTE(O57,CHAR(160),""))),0),2),
"Attention : Montant présenté partiellement rejeté.",
TRUE,""
))</f>
        <v/>
      </c>
      <c r="AJ57" s="251" t="str">
        <f t="shared" si="19"/>
        <v/>
      </c>
    </row>
    <row r="58" spans="1:36" ht="15" customHeight="1">
      <c r="A58" s="193">
        <v>54</v>
      </c>
      <c r="B58" s="268"/>
      <c r="C58" s="7"/>
      <c r="D58" s="7"/>
      <c r="E58" s="12"/>
      <c r="F58" s="7"/>
      <c r="G58" s="13"/>
      <c r="H58" s="7"/>
      <c r="I58" s="10"/>
      <c r="J58" s="14"/>
      <c r="K58" s="10"/>
      <c r="L58" s="10"/>
      <c r="M58" s="851" t="str">
        <f t="shared" si="0"/>
        <v/>
      </c>
      <c r="N58" s="15"/>
      <c r="O58" s="280" t="str">
        <f t="shared" si="1"/>
        <v/>
      </c>
      <c r="P58" s="7"/>
      <c r="Q58" s="192"/>
      <c r="R58" s="190" t="str">
        <f t="shared" si="20"/>
        <v/>
      </c>
      <c r="S58" s="154" t="str">
        <f t="shared" si="21"/>
        <v/>
      </c>
      <c r="T58" s="154" t="str">
        <f t="shared" si="22"/>
        <v/>
      </c>
      <c r="U58" s="154" t="str">
        <f t="shared" si="23"/>
        <v/>
      </c>
      <c r="V58" s="154" t="str">
        <f t="shared" si="24"/>
        <v/>
      </c>
      <c r="W58" s="110" t="str">
        <f t="shared" si="25"/>
        <v/>
      </c>
      <c r="X58" s="154" t="str">
        <f t="shared" si="26"/>
        <v/>
      </c>
      <c r="Y58" s="111" t="str">
        <f t="shared" si="27"/>
        <v/>
      </c>
      <c r="Z58" s="154" t="str">
        <f t="shared" si="28"/>
        <v/>
      </c>
      <c r="AA58" s="111" t="str">
        <f t="shared" si="29"/>
        <v/>
      </c>
      <c r="AB58" s="111" t="str">
        <f t="shared" si="3"/>
        <v/>
      </c>
      <c r="AC58" s="851" t="str">
        <f t="shared" si="17"/>
        <v/>
      </c>
      <c r="AD58" s="32" t="str">
        <f t="shared" si="4"/>
        <v/>
      </c>
      <c r="AE58" s="154" t="str">
        <f t="shared" si="5"/>
        <v/>
      </c>
      <c r="AF58" s="7"/>
      <c r="AG58" s="280" t="str">
        <f t="shared" si="18"/>
        <v/>
      </c>
      <c r="AH58" s="603"/>
      <c r="AI58" s="252" t="str" cm="1">
        <f t="array" ref="AI58">IF(OR(AG58="",O58=""),"",_xlfn.IFS(
ROUND(IFERROR(VALUE(TRIM(SUBSTITUTE(AG58,CHAR(160),""))),0),2)&gt;
ROUND(IFERROR(VALUE(TRIM(SUBSTITUTE(O58,CHAR(160),""))),0),2),
"KO : Le montant retenu est supérieur au montant présenté. Merci de revoir la ligne de contributions ou plafonner son montant.",
ROUND(IFERROR(VALUE(TRIM(SUBSTITUTE(O58,CHAR(160),""))),0),2)=0,
"",
ROUND(IFERROR(VALUE(TRIM(SUBSTITUTE(AG58,CHAR(160),""))),0),2)=
ROUND(IFERROR(VALUE(TRIM(SUBSTITUTE(O58,CHAR(160),""))),0),2),
"OK",
ROUND(IFERROR(VALUE(TRIM(SUBSTITUTE(AG58,CHAR(160),""))),0),2)=0,
"Attention : Montant présenté entièrement rejeté.",
ROUND(IFERROR(VALUE(TRIM(SUBSTITUTE(AG58,CHAR(160),""))),0),2)&lt;
ROUND(IFERROR(VALUE(TRIM(SUBSTITUTE(O58,CHAR(160),""))),0),2),
"Attention : Montant présenté partiellement rejeté.",
TRUE,""
))</f>
        <v/>
      </c>
      <c r="AJ58" s="251" t="str">
        <f t="shared" si="19"/>
        <v/>
      </c>
    </row>
    <row r="59" spans="1:36" ht="15" customHeight="1">
      <c r="A59" s="193">
        <v>55</v>
      </c>
      <c r="B59" s="268"/>
      <c r="C59" s="7"/>
      <c r="D59" s="7"/>
      <c r="E59" s="12"/>
      <c r="F59" s="7"/>
      <c r="G59" s="13"/>
      <c r="H59" s="7"/>
      <c r="I59" s="10"/>
      <c r="J59" s="14"/>
      <c r="K59" s="10"/>
      <c r="L59" s="10"/>
      <c r="M59" s="851" t="str">
        <f t="shared" si="0"/>
        <v/>
      </c>
      <c r="N59" s="15"/>
      <c r="O59" s="280" t="str">
        <f t="shared" si="1"/>
        <v/>
      </c>
      <c r="P59" s="7"/>
      <c r="Q59" s="192"/>
      <c r="R59" s="190" t="str">
        <f t="shared" si="20"/>
        <v/>
      </c>
      <c r="S59" s="154" t="str">
        <f t="shared" si="21"/>
        <v/>
      </c>
      <c r="T59" s="154" t="str">
        <f t="shared" si="22"/>
        <v/>
      </c>
      <c r="U59" s="154" t="str">
        <f t="shared" si="23"/>
        <v/>
      </c>
      <c r="V59" s="154" t="str">
        <f t="shared" si="24"/>
        <v/>
      </c>
      <c r="W59" s="110" t="str">
        <f t="shared" si="25"/>
        <v/>
      </c>
      <c r="X59" s="154" t="str">
        <f t="shared" si="26"/>
        <v/>
      </c>
      <c r="Y59" s="111" t="str">
        <f t="shared" si="27"/>
        <v/>
      </c>
      <c r="Z59" s="154" t="str">
        <f t="shared" si="28"/>
        <v/>
      </c>
      <c r="AA59" s="111" t="str">
        <f t="shared" si="29"/>
        <v/>
      </c>
      <c r="AB59" s="111" t="str">
        <f t="shared" si="3"/>
        <v/>
      </c>
      <c r="AC59" s="851" t="str">
        <f t="shared" si="17"/>
        <v/>
      </c>
      <c r="AD59" s="32" t="str">
        <f t="shared" si="4"/>
        <v/>
      </c>
      <c r="AE59" s="154" t="str">
        <f t="shared" si="5"/>
        <v/>
      </c>
      <c r="AF59" s="7"/>
      <c r="AG59" s="280" t="str">
        <f t="shared" si="18"/>
        <v/>
      </c>
      <c r="AH59" s="603"/>
      <c r="AI59" s="252" t="str" cm="1">
        <f t="array" ref="AI59">IF(OR(AG59="",O59=""),"",_xlfn.IFS(
ROUND(IFERROR(VALUE(TRIM(SUBSTITUTE(AG59,CHAR(160),""))),0),2)&gt;
ROUND(IFERROR(VALUE(TRIM(SUBSTITUTE(O59,CHAR(160),""))),0),2),
"KO : Le montant retenu est supérieur au montant présenté. Merci de revoir la ligne de contributions ou plafonner son montant.",
ROUND(IFERROR(VALUE(TRIM(SUBSTITUTE(O59,CHAR(160),""))),0),2)=0,
"",
ROUND(IFERROR(VALUE(TRIM(SUBSTITUTE(AG59,CHAR(160),""))),0),2)=
ROUND(IFERROR(VALUE(TRIM(SUBSTITUTE(O59,CHAR(160),""))),0),2),
"OK",
ROUND(IFERROR(VALUE(TRIM(SUBSTITUTE(AG59,CHAR(160),""))),0),2)=0,
"Attention : Montant présenté entièrement rejeté.",
ROUND(IFERROR(VALUE(TRIM(SUBSTITUTE(AG59,CHAR(160),""))),0),2)&lt;
ROUND(IFERROR(VALUE(TRIM(SUBSTITUTE(O59,CHAR(160),""))),0),2),
"Attention : Montant présenté partiellement rejeté.",
TRUE,""
))</f>
        <v/>
      </c>
      <c r="AJ59" s="251" t="str">
        <f t="shared" si="19"/>
        <v/>
      </c>
    </row>
    <row r="60" spans="1:36" ht="15" customHeight="1">
      <c r="A60" s="193">
        <v>56</v>
      </c>
      <c r="B60" s="268"/>
      <c r="C60" s="7"/>
      <c r="D60" s="7"/>
      <c r="E60" s="12"/>
      <c r="F60" s="7"/>
      <c r="G60" s="13"/>
      <c r="H60" s="7"/>
      <c r="I60" s="10"/>
      <c r="J60" s="14"/>
      <c r="K60" s="10"/>
      <c r="L60" s="10"/>
      <c r="M60" s="851" t="str">
        <f t="shared" si="0"/>
        <v/>
      </c>
      <c r="N60" s="15"/>
      <c r="O60" s="280" t="str">
        <f t="shared" si="1"/>
        <v/>
      </c>
      <c r="P60" s="7"/>
      <c r="Q60" s="192"/>
      <c r="R60" s="190" t="str">
        <f t="shared" si="20"/>
        <v/>
      </c>
      <c r="S60" s="154" t="str">
        <f t="shared" si="21"/>
        <v/>
      </c>
      <c r="T60" s="154" t="str">
        <f t="shared" si="22"/>
        <v/>
      </c>
      <c r="U60" s="154" t="str">
        <f t="shared" si="23"/>
        <v/>
      </c>
      <c r="V60" s="154" t="str">
        <f t="shared" si="24"/>
        <v/>
      </c>
      <c r="W60" s="110" t="str">
        <f t="shared" si="25"/>
        <v/>
      </c>
      <c r="X60" s="154" t="str">
        <f t="shared" si="26"/>
        <v/>
      </c>
      <c r="Y60" s="111" t="str">
        <f t="shared" si="27"/>
        <v/>
      </c>
      <c r="Z60" s="154" t="str">
        <f t="shared" si="28"/>
        <v/>
      </c>
      <c r="AA60" s="111" t="str">
        <f t="shared" si="29"/>
        <v/>
      </c>
      <c r="AB60" s="111" t="str">
        <f t="shared" si="3"/>
        <v/>
      </c>
      <c r="AC60" s="851" t="str">
        <f t="shared" si="17"/>
        <v/>
      </c>
      <c r="AD60" s="32" t="str">
        <f t="shared" si="4"/>
        <v/>
      </c>
      <c r="AE60" s="154" t="str">
        <f t="shared" si="5"/>
        <v/>
      </c>
      <c r="AF60" s="7"/>
      <c r="AG60" s="280" t="str">
        <f t="shared" si="18"/>
        <v/>
      </c>
      <c r="AH60" s="603"/>
      <c r="AI60" s="252" t="str" cm="1">
        <f t="array" ref="AI60">IF(OR(AG60="",O60=""),"",_xlfn.IFS(
ROUND(IFERROR(VALUE(TRIM(SUBSTITUTE(AG60,CHAR(160),""))),0),2)&gt;
ROUND(IFERROR(VALUE(TRIM(SUBSTITUTE(O60,CHAR(160),""))),0),2),
"KO : Le montant retenu est supérieur au montant présenté. Merci de revoir la ligne de contributions ou plafonner son montant.",
ROUND(IFERROR(VALUE(TRIM(SUBSTITUTE(O60,CHAR(160),""))),0),2)=0,
"",
ROUND(IFERROR(VALUE(TRIM(SUBSTITUTE(AG60,CHAR(160),""))),0),2)=
ROUND(IFERROR(VALUE(TRIM(SUBSTITUTE(O60,CHAR(160),""))),0),2),
"OK",
ROUND(IFERROR(VALUE(TRIM(SUBSTITUTE(AG60,CHAR(160),""))),0),2)=0,
"Attention : Montant présenté entièrement rejeté.",
ROUND(IFERROR(VALUE(TRIM(SUBSTITUTE(AG60,CHAR(160),""))),0),2)&lt;
ROUND(IFERROR(VALUE(TRIM(SUBSTITUTE(O60,CHAR(160),""))),0),2),
"Attention : Montant présenté partiellement rejeté.",
TRUE,""
))</f>
        <v/>
      </c>
      <c r="AJ60" s="251" t="str">
        <f t="shared" si="19"/>
        <v/>
      </c>
    </row>
    <row r="61" spans="1:36" ht="15" customHeight="1">
      <c r="A61" s="193">
        <v>57</v>
      </c>
      <c r="B61" s="268"/>
      <c r="C61" s="7"/>
      <c r="D61" s="7"/>
      <c r="E61" s="12"/>
      <c r="F61" s="7"/>
      <c r="G61" s="13"/>
      <c r="H61" s="7"/>
      <c r="I61" s="10"/>
      <c r="J61" s="14"/>
      <c r="K61" s="10"/>
      <c r="L61" s="10"/>
      <c r="M61" s="851" t="str">
        <f t="shared" si="0"/>
        <v/>
      </c>
      <c r="N61" s="15"/>
      <c r="O61" s="280" t="str">
        <f t="shared" si="1"/>
        <v/>
      </c>
      <c r="P61" s="7"/>
      <c r="Q61" s="192"/>
      <c r="R61" s="190" t="str">
        <f t="shared" si="20"/>
        <v/>
      </c>
      <c r="S61" s="154" t="str">
        <f t="shared" si="21"/>
        <v/>
      </c>
      <c r="T61" s="154" t="str">
        <f t="shared" si="22"/>
        <v/>
      </c>
      <c r="U61" s="154" t="str">
        <f t="shared" si="23"/>
        <v/>
      </c>
      <c r="V61" s="154" t="str">
        <f t="shared" si="24"/>
        <v/>
      </c>
      <c r="W61" s="110" t="str">
        <f t="shared" si="25"/>
        <v/>
      </c>
      <c r="X61" s="154" t="str">
        <f t="shared" si="26"/>
        <v/>
      </c>
      <c r="Y61" s="111" t="str">
        <f t="shared" si="27"/>
        <v/>
      </c>
      <c r="Z61" s="154" t="str">
        <f t="shared" si="28"/>
        <v/>
      </c>
      <c r="AA61" s="111" t="str">
        <f t="shared" si="29"/>
        <v/>
      </c>
      <c r="AB61" s="111" t="str">
        <f t="shared" si="3"/>
        <v/>
      </c>
      <c r="AC61" s="851" t="str">
        <f t="shared" si="17"/>
        <v/>
      </c>
      <c r="AD61" s="32" t="str">
        <f t="shared" si="4"/>
        <v/>
      </c>
      <c r="AE61" s="154" t="str">
        <f t="shared" si="5"/>
        <v/>
      </c>
      <c r="AF61" s="7"/>
      <c r="AG61" s="280" t="str">
        <f t="shared" si="18"/>
        <v/>
      </c>
      <c r="AH61" s="603"/>
      <c r="AI61" s="252" t="str" cm="1">
        <f t="array" ref="AI61">IF(OR(AG61="",O61=""),"",_xlfn.IFS(
ROUND(IFERROR(VALUE(TRIM(SUBSTITUTE(AG61,CHAR(160),""))),0),2)&gt;
ROUND(IFERROR(VALUE(TRIM(SUBSTITUTE(O61,CHAR(160),""))),0),2),
"KO : Le montant retenu est supérieur au montant présenté. Merci de revoir la ligne de contributions ou plafonner son montant.",
ROUND(IFERROR(VALUE(TRIM(SUBSTITUTE(O61,CHAR(160),""))),0),2)=0,
"",
ROUND(IFERROR(VALUE(TRIM(SUBSTITUTE(AG61,CHAR(160),""))),0),2)=
ROUND(IFERROR(VALUE(TRIM(SUBSTITUTE(O61,CHAR(160),""))),0),2),
"OK",
ROUND(IFERROR(VALUE(TRIM(SUBSTITUTE(AG61,CHAR(160),""))),0),2)=0,
"Attention : Montant présenté entièrement rejeté.",
ROUND(IFERROR(VALUE(TRIM(SUBSTITUTE(AG61,CHAR(160),""))),0),2)&lt;
ROUND(IFERROR(VALUE(TRIM(SUBSTITUTE(O61,CHAR(160),""))),0),2),
"Attention : Montant présenté partiellement rejeté.",
TRUE,""
))</f>
        <v/>
      </c>
      <c r="AJ61" s="251" t="str">
        <f t="shared" si="19"/>
        <v/>
      </c>
    </row>
    <row r="62" spans="1:36" ht="15" customHeight="1">
      <c r="A62" s="193">
        <v>58</v>
      </c>
      <c r="B62" s="268"/>
      <c r="C62" s="7"/>
      <c r="D62" s="7"/>
      <c r="E62" s="12"/>
      <c r="F62" s="7"/>
      <c r="G62" s="13"/>
      <c r="H62" s="7"/>
      <c r="I62" s="10"/>
      <c r="J62" s="14"/>
      <c r="K62" s="10"/>
      <c r="L62" s="10"/>
      <c r="M62" s="851" t="str">
        <f t="shared" si="0"/>
        <v/>
      </c>
      <c r="N62" s="15"/>
      <c r="O62" s="280" t="str">
        <f t="shared" si="1"/>
        <v/>
      </c>
      <c r="P62" s="7"/>
      <c r="Q62" s="192"/>
      <c r="R62" s="190" t="str">
        <f t="shared" si="20"/>
        <v/>
      </c>
      <c r="S62" s="154" t="str">
        <f t="shared" si="21"/>
        <v/>
      </c>
      <c r="T62" s="154" t="str">
        <f t="shared" si="22"/>
        <v/>
      </c>
      <c r="U62" s="154" t="str">
        <f t="shared" si="23"/>
        <v/>
      </c>
      <c r="V62" s="154" t="str">
        <f t="shared" si="24"/>
        <v/>
      </c>
      <c r="W62" s="110" t="str">
        <f t="shared" si="25"/>
        <v/>
      </c>
      <c r="X62" s="154" t="str">
        <f t="shared" si="26"/>
        <v/>
      </c>
      <c r="Y62" s="111" t="str">
        <f t="shared" si="27"/>
        <v/>
      </c>
      <c r="Z62" s="154" t="str">
        <f t="shared" si="28"/>
        <v/>
      </c>
      <c r="AA62" s="111" t="str">
        <f t="shared" si="29"/>
        <v/>
      </c>
      <c r="AB62" s="111" t="str">
        <f t="shared" si="3"/>
        <v/>
      </c>
      <c r="AC62" s="851" t="str">
        <f t="shared" si="17"/>
        <v/>
      </c>
      <c r="AD62" s="32" t="str">
        <f t="shared" si="4"/>
        <v/>
      </c>
      <c r="AE62" s="154" t="str">
        <f t="shared" si="5"/>
        <v/>
      </c>
      <c r="AF62" s="7"/>
      <c r="AG62" s="280" t="str">
        <f t="shared" si="18"/>
        <v/>
      </c>
      <c r="AH62" s="603"/>
      <c r="AI62" s="252" t="str" cm="1">
        <f t="array" ref="AI62">IF(OR(AG62="",O62=""),"",_xlfn.IFS(
ROUND(IFERROR(VALUE(TRIM(SUBSTITUTE(AG62,CHAR(160),""))),0),2)&gt;
ROUND(IFERROR(VALUE(TRIM(SUBSTITUTE(O62,CHAR(160),""))),0),2),
"KO : Le montant retenu est supérieur au montant présenté. Merci de revoir la ligne de contributions ou plafonner son montant.",
ROUND(IFERROR(VALUE(TRIM(SUBSTITUTE(O62,CHAR(160),""))),0),2)=0,
"",
ROUND(IFERROR(VALUE(TRIM(SUBSTITUTE(AG62,CHAR(160),""))),0),2)=
ROUND(IFERROR(VALUE(TRIM(SUBSTITUTE(O62,CHAR(160),""))),0),2),
"OK",
ROUND(IFERROR(VALUE(TRIM(SUBSTITUTE(AG62,CHAR(160),""))),0),2)=0,
"Attention : Montant présenté entièrement rejeté.",
ROUND(IFERROR(VALUE(TRIM(SUBSTITUTE(AG62,CHAR(160),""))),0),2)&lt;
ROUND(IFERROR(VALUE(TRIM(SUBSTITUTE(O62,CHAR(160),""))),0),2),
"Attention : Montant présenté partiellement rejeté.",
TRUE,""
))</f>
        <v/>
      </c>
      <c r="AJ62" s="251" t="str">
        <f t="shared" si="19"/>
        <v/>
      </c>
    </row>
    <row r="63" spans="1:36" ht="15" customHeight="1">
      <c r="A63" s="193">
        <v>59</v>
      </c>
      <c r="B63" s="268"/>
      <c r="C63" s="7"/>
      <c r="D63" s="7"/>
      <c r="E63" s="12"/>
      <c r="F63" s="7"/>
      <c r="G63" s="13"/>
      <c r="H63" s="7"/>
      <c r="I63" s="10"/>
      <c r="J63" s="14"/>
      <c r="K63" s="10"/>
      <c r="L63" s="10"/>
      <c r="M63" s="851" t="str">
        <f t="shared" si="0"/>
        <v/>
      </c>
      <c r="N63" s="15"/>
      <c r="O63" s="280" t="str">
        <f t="shared" si="1"/>
        <v/>
      </c>
      <c r="P63" s="7"/>
      <c r="Q63" s="192"/>
      <c r="R63" s="190" t="str">
        <f t="shared" si="20"/>
        <v/>
      </c>
      <c r="S63" s="154" t="str">
        <f t="shared" si="21"/>
        <v/>
      </c>
      <c r="T63" s="154" t="str">
        <f t="shared" si="22"/>
        <v/>
      </c>
      <c r="U63" s="154" t="str">
        <f t="shared" si="23"/>
        <v/>
      </c>
      <c r="V63" s="154" t="str">
        <f t="shared" si="24"/>
        <v/>
      </c>
      <c r="W63" s="110" t="str">
        <f t="shared" si="25"/>
        <v/>
      </c>
      <c r="X63" s="154" t="str">
        <f t="shared" si="26"/>
        <v/>
      </c>
      <c r="Y63" s="111" t="str">
        <f t="shared" si="27"/>
        <v/>
      </c>
      <c r="Z63" s="154" t="str">
        <f t="shared" si="28"/>
        <v/>
      </c>
      <c r="AA63" s="111" t="str">
        <f t="shared" si="29"/>
        <v/>
      </c>
      <c r="AB63" s="111" t="str">
        <f t="shared" si="3"/>
        <v/>
      </c>
      <c r="AC63" s="851" t="str">
        <f t="shared" si="17"/>
        <v/>
      </c>
      <c r="AD63" s="32" t="str">
        <f t="shared" si="4"/>
        <v/>
      </c>
      <c r="AE63" s="154" t="str">
        <f t="shared" si="5"/>
        <v/>
      </c>
      <c r="AF63" s="7"/>
      <c r="AG63" s="280" t="str">
        <f t="shared" si="18"/>
        <v/>
      </c>
      <c r="AH63" s="603"/>
      <c r="AI63" s="252" t="str" cm="1">
        <f t="array" ref="AI63">IF(OR(AG63="",O63=""),"",_xlfn.IFS(
ROUND(IFERROR(VALUE(TRIM(SUBSTITUTE(AG63,CHAR(160),""))),0),2)&gt;
ROUND(IFERROR(VALUE(TRIM(SUBSTITUTE(O63,CHAR(160),""))),0),2),
"KO : Le montant retenu est supérieur au montant présenté. Merci de revoir la ligne de contributions ou plafonner son montant.",
ROUND(IFERROR(VALUE(TRIM(SUBSTITUTE(O63,CHAR(160),""))),0),2)=0,
"",
ROUND(IFERROR(VALUE(TRIM(SUBSTITUTE(AG63,CHAR(160),""))),0),2)=
ROUND(IFERROR(VALUE(TRIM(SUBSTITUTE(O63,CHAR(160),""))),0),2),
"OK",
ROUND(IFERROR(VALUE(TRIM(SUBSTITUTE(AG63,CHAR(160),""))),0),2)=0,
"Attention : Montant présenté entièrement rejeté.",
ROUND(IFERROR(VALUE(TRIM(SUBSTITUTE(AG63,CHAR(160),""))),0),2)&lt;
ROUND(IFERROR(VALUE(TRIM(SUBSTITUTE(O63,CHAR(160),""))),0),2),
"Attention : Montant présenté partiellement rejeté.",
TRUE,""
))</f>
        <v/>
      </c>
      <c r="AJ63" s="251" t="str">
        <f t="shared" si="19"/>
        <v/>
      </c>
    </row>
    <row r="64" spans="1:36" ht="15" customHeight="1">
      <c r="A64" s="193">
        <v>60</v>
      </c>
      <c r="B64" s="268"/>
      <c r="C64" s="7"/>
      <c r="D64" s="7"/>
      <c r="E64" s="12"/>
      <c r="F64" s="7"/>
      <c r="G64" s="13"/>
      <c r="H64" s="7"/>
      <c r="I64" s="10"/>
      <c r="J64" s="14"/>
      <c r="K64" s="10"/>
      <c r="L64" s="10"/>
      <c r="M64" s="851" t="str">
        <f t="shared" si="0"/>
        <v/>
      </c>
      <c r="N64" s="15"/>
      <c r="O64" s="280" t="str">
        <f t="shared" si="1"/>
        <v/>
      </c>
      <c r="P64" s="7"/>
      <c r="Q64" s="192"/>
      <c r="R64" s="190" t="str">
        <f t="shared" si="20"/>
        <v/>
      </c>
      <c r="S64" s="154" t="str">
        <f t="shared" si="21"/>
        <v/>
      </c>
      <c r="T64" s="154" t="str">
        <f t="shared" si="22"/>
        <v/>
      </c>
      <c r="U64" s="154" t="str">
        <f t="shared" si="23"/>
        <v/>
      </c>
      <c r="V64" s="154" t="str">
        <f t="shared" si="24"/>
        <v/>
      </c>
      <c r="W64" s="110" t="str">
        <f t="shared" si="25"/>
        <v/>
      </c>
      <c r="X64" s="154" t="str">
        <f t="shared" si="26"/>
        <v/>
      </c>
      <c r="Y64" s="111" t="str">
        <f t="shared" si="27"/>
        <v/>
      </c>
      <c r="Z64" s="154" t="str">
        <f t="shared" si="28"/>
        <v/>
      </c>
      <c r="AA64" s="111" t="str">
        <f t="shared" si="29"/>
        <v/>
      </c>
      <c r="AB64" s="111" t="str">
        <f t="shared" si="3"/>
        <v/>
      </c>
      <c r="AC64" s="851" t="str">
        <f t="shared" si="17"/>
        <v/>
      </c>
      <c r="AD64" s="32" t="str">
        <f t="shared" si="4"/>
        <v/>
      </c>
      <c r="AE64" s="154" t="str">
        <f t="shared" si="5"/>
        <v/>
      </c>
      <c r="AF64" s="7"/>
      <c r="AG64" s="280" t="str">
        <f t="shared" si="18"/>
        <v/>
      </c>
      <c r="AH64" s="603"/>
      <c r="AI64" s="252" t="str" cm="1">
        <f t="array" ref="AI64">IF(OR(AG64="",O64=""),"",_xlfn.IFS(
ROUND(IFERROR(VALUE(TRIM(SUBSTITUTE(AG64,CHAR(160),""))),0),2)&gt;
ROUND(IFERROR(VALUE(TRIM(SUBSTITUTE(O64,CHAR(160),""))),0),2),
"KO : Le montant retenu est supérieur au montant présenté. Merci de revoir la ligne de contributions ou plafonner son montant.",
ROUND(IFERROR(VALUE(TRIM(SUBSTITUTE(O64,CHAR(160),""))),0),2)=0,
"",
ROUND(IFERROR(VALUE(TRIM(SUBSTITUTE(AG64,CHAR(160),""))),0),2)=
ROUND(IFERROR(VALUE(TRIM(SUBSTITUTE(O64,CHAR(160),""))),0),2),
"OK",
ROUND(IFERROR(VALUE(TRIM(SUBSTITUTE(AG64,CHAR(160),""))),0),2)=0,
"Attention : Montant présenté entièrement rejeté.",
ROUND(IFERROR(VALUE(TRIM(SUBSTITUTE(AG64,CHAR(160),""))),0),2)&lt;
ROUND(IFERROR(VALUE(TRIM(SUBSTITUTE(O64,CHAR(160),""))),0),2),
"Attention : Montant présenté partiellement rejeté.",
TRUE,""
))</f>
        <v/>
      </c>
      <c r="AJ64" s="251" t="str">
        <f t="shared" si="19"/>
        <v/>
      </c>
    </row>
    <row r="65" spans="1:36" ht="15" customHeight="1">
      <c r="A65" s="193">
        <v>61</v>
      </c>
      <c r="B65" s="268"/>
      <c r="C65" s="7"/>
      <c r="D65" s="7"/>
      <c r="E65" s="12"/>
      <c r="F65" s="7"/>
      <c r="G65" s="13"/>
      <c r="H65" s="7"/>
      <c r="I65" s="10"/>
      <c r="J65" s="14"/>
      <c r="K65" s="10"/>
      <c r="L65" s="10"/>
      <c r="M65" s="851" t="str">
        <f t="shared" si="0"/>
        <v/>
      </c>
      <c r="N65" s="15"/>
      <c r="O65" s="280" t="str">
        <f t="shared" si="1"/>
        <v/>
      </c>
      <c r="P65" s="7"/>
      <c r="Q65" s="192"/>
      <c r="R65" s="190" t="str">
        <f t="shared" si="20"/>
        <v/>
      </c>
      <c r="S65" s="154" t="str">
        <f t="shared" si="21"/>
        <v/>
      </c>
      <c r="T65" s="154" t="str">
        <f t="shared" si="22"/>
        <v/>
      </c>
      <c r="U65" s="154" t="str">
        <f t="shared" si="23"/>
        <v/>
      </c>
      <c r="V65" s="154" t="str">
        <f t="shared" si="24"/>
        <v/>
      </c>
      <c r="W65" s="110" t="str">
        <f t="shared" si="25"/>
        <v/>
      </c>
      <c r="X65" s="154" t="str">
        <f t="shared" si="26"/>
        <v/>
      </c>
      <c r="Y65" s="111" t="str">
        <f t="shared" si="27"/>
        <v/>
      </c>
      <c r="Z65" s="154" t="str">
        <f t="shared" si="28"/>
        <v/>
      </c>
      <c r="AA65" s="111" t="str">
        <f t="shared" si="29"/>
        <v/>
      </c>
      <c r="AB65" s="111" t="str">
        <f t="shared" si="3"/>
        <v/>
      </c>
      <c r="AC65" s="851" t="str">
        <f t="shared" si="17"/>
        <v/>
      </c>
      <c r="AD65" s="32" t="str">
        <f t="shared" si="4"/>
        <v/>
      </c>
      <c r="AE65" s="154" t="str">
        <f t="shared" si="5"/>
        <v/>
      </c>
      <c r="AF65" s="7"/>
      <c r="AG65" s="280" t="str">
        <f t="shared" si="18"/>
        <v/>
      </c>
      <c r="AH65" s="603"/>
      <c r="AI65" s="252" t="str" cm="1">
        <f t="array" ref="AI65">IF(OR(AG65="",O65=""),"",_xlfn.IFS(
ROUND(IFERROR(VALUE(TRIM(SUBSTITUTE(AG65,CHAR(160),""))),0),2)&gt;
ROUND(IFERROR(VALUE(TRIM(SUBSTITUTE(O65,CHAR(160),""))),0),2),
"KO : Le montant retenu est supérieur au montant présenté. Merci de revoir la ligne de contributions ou plafonner son montant.",
ROUND(IFERROR(VALUE(TRIM(SUBSTITUTE(O65,CHAR(160),""))),0),2)=0,
"",
ROUND(IFERROR(VALUE(TRIM(SUBSTITUTE(AG65,CHAR(160),""))),0),2)=
ROUND(IFERROR(VALUE(TRIM(SUBSTITUTE(O65,CHAR(160),""))),0),2),
"OK",
ROUND(IFERROR(VALUE(TRIM(SUBSTITUTE(AG65,CHAR(160),""))),0),2)=0,
"Attention : Montant présenté entièrement rejeté.",
ROUND(IFERROR(VALUE(TRIM(SUBSTITUTE(AG65,CHAR(160),""))),0),2)&lt;
ROUND(IFERROR(VALUE(TRIM(SUBSTITUTE(O65,CHAR(160),""))),0),2),
"Attention : Montant présenté partiellement rejeté.",
TRUE,""
))</f>
        <v/>
      </c>
      <c r="AJ65" s="251" t="str">
        <f t="shared" si="19"/>
        <v/>
      </c>
    </row>
    <row r="66" spans="1:36" ht="15" customHeight="1">
      <c r="A66" s="193">
        <v>62</v>
      </c>
      <c r="B66" s="268"/>
      <c r="C66" s="7"/>
      <c r="D66" s="7"/>
      <c r="E66" s="12"/>
      <c r="F66" s="7"/>
      <c r="G66" s="13"/>
      <c r="H66" s="7"/>
      <c r="I66" s="10"/>
      <c r="J66" s="14"/>
      <c r="K66" s="10"/>
      <c r="L66" s="10"/>
      <c r="M66" s="851" t="str">
        <f t="shared" si="0"/>
        <v/>
      </c>
      <c r="N66" s="15"/>
      <c r="O66" s="280" t="str">
        <f t="shared" si="1"/>
        <v/>
      </c>
      <c r="P66" s="7"/>
      <c r="Q66" s="192"/>
      <c r="R66" s="190" t="str">
        <f t="shared" si="20"/>
        <v/>
      </c>
      <c r="S66" s="154" t="str">
        <f t="shared" si="21"/>
        <v/>
      </c>
      <c r="T66" s="154" t="str">
        <f t="shared" si="22"/>
        <v/>
      </c>
      <c r="U66" s="154" t="str">
        <f t="shared" si="23"/>
        <v/>
      </c>
      <c r="V66" s="154" t="str">
        <f t="shared" si="24"/>
        <v/>
      </c>
      <c r="W66" s="110" t="str">
        <f t="shared" si="25"/>
        <v/>
      </c>
      <c r="X66" s="154" t="str">
        <f t="shared" si="26"/>
        <v/>
      </c>
      <c r="Y66" s="111" t="str">
        <f t="shared" si="27"/>
        <v/>
      </c>
      <c r="Z66" s="154" t="str">
        <f t="shared" si="28"/>
        <v/>
      </c>
      <c r="AA66" s="111" t="str">
        <f t="shared" si="29"/>
        <v/>
      </c>
      <c r="AB66" s="111" t="str">
        <f t="shared" si="3"/>
        <v/>
      </c>
      <c r="AC66" s="851" t="str">
        <f t="shared" si="17"/>
        <v/>
      </c>
      <c r="AD66" s="32" t="str">
        <f t="shared" si="4"/>
        <v/>
      </c>
      <c r="AE66" s="154" t="str">
        <f t="shared" si="5"/>
        <v/>
      </c>
      <c r="AF66" s="7"/>
      <c r="AG66" s="280" t="str">
        <f t="shared" si="18"/>
        <v/>
      </c>
      <c r="AH66" s="603"/>
      <c r="AI66" s="252" t="str" cm="1">
        <f t="array" ref="AI66">IF(OR(AG66="",O66=""),"",_xlfn.IFS(
ROUND(IFERROR(VALUE(TRIM(SUBSTITUTE(AG66,CHAR(160),""))),0),2)&gt;
ROUND(IFERROR(VALUE(TRIM(SUBSTITUTE(O66,CHAR(160),""))),0),2),
"KO : Le montant retenu est supérieur au montant présenté. Merci de revoir la ligne de contributions ou plafonner son montant.",
ROUND(IFERROR(VALUE(TRIM(SUBSTITUTE(O66,CHAR(160),""))),0),2)=0,
"",
ROUND(IFERROR(VALUE(TRIM(SUBSTITUTE(AG66,CHAR(160),""))),0),2)=
ROUND(IFERROR(VALUE(TRIM(SUBSTITUTE(O66,CHAR(160),""))),0),2),
"OK",
ROUND(IFERROR(VALUE(TRIM(SUBSTITUTE(AG66,CHAR(160),""))),0),2)=0,
"Attention : Montant présenté entièrement rejeté.",
ROUND(IFERROR(VALUE(TRIM(SUBSTITUTE(AG66,CHAR(160),""))),0),2)&lt;
ROUND(IFERROR(VALUE(TRIM(SUBSTITUTE(O66,CHAR(160),""))),0),2),
"Attention : Montant présenté partiellement rejeté.",
TRUE,""
))</f>
        <v/>
      </c>
      <c r="AJ66" s="251" t="str">
        <f t="shared" si="19"/>
        <v/>
      </c>
    </row>
    <row r="67" spans="1:36" ht="15" customHeight="1">
      <c r="A67" s="193">
        <v>63</v>
      </c>
      <c r="B67" s="268"/>
      <c r="C67" s="7"/>
      <c r="D67" s="7"/>
      <c r="E67" s="12"/>
      <c r="F67" s="7"/>
      <c r="G67" s="13"/>
      <c r="H67" s="7"/>
      <c r="I67" s="10"/>
      <c r="J67" s="14"/>
      <c r="K67" s="10"/>
      <c r="L67" s="10"/>
      <c r="M67" s="851" t="str">
        <f t="shared" si="0"/>
        <v/>
      </c>
      <c r="N67" s="15"/>
      <c r="O67" s="280" t="str">
        <f t="shared" si="1"/>
        <v/>
      </c>
      <c r="P67" s="7"/>
      <c r="Q67" s="192"/>
      <c r="R67" s="190" t="str">
        <f t="shared" si="20"/>
        <v/>
      </c>
      <c r="S67" s="154" t="str">
        <f t="shared" si="21"/>
        <v/>
      </c>
      <c r="T67" s="154" t="str">
        <f t="shared" si="22"/>
        <v/>
      </c>
      <c r="U67" s="154" t="str">
        <f t="shared" si="23"/>
        <v/>
      </c>
      <c r="V67" s="154" t="str">
        <f t="shared" si="24"/>
        <v/>
      </c>
      <c r="W67" s="110" t="str">
        <f t="shared" si="25"/>
        <v/>
      </c>
      <c r="X67" s="154" t="str">
        <f t="shared" si="26"/>
        <v/>
      </c>
      <c r="Y67" s="111" t="str">
        <f t="shared" si="27"/>
        <v/>
      </c>
      <c r="Z67" s="154" t="str">
        <f t="shared" si="28"/>
        <v/>
      </c>
      <c r="AA67" s="111" t="str">
        <f t="shared" si="29"/>
        <v/>
      </c>
      <c r="AB67" s="111" t="str">
        <f t="shared" si="3"/>
        <v/>
      </c>
      <c r="AC67" s="851" t="str">
        <f t="shared" si="17"/>
        <v/>
      </c>
      <c r="AD67" s="32" t="str">
        <f t="shared" si="4"/>
        <v/>
      </c>
      <c r="AE67" s="154" t="str">
        <f t="shared" si="5"/>
        <v/>
      </c>
      <c r="AF67" s="7"/>
      <c r="AG67" s="280" t="str">
        <f t="shared" si="18"/>
        <v/>
      </c>
      <c r="AH67" s="603"/>
      <c r="AI67" s="252" t="str" cm="1">
        <f t="array" ref="AI67">IF(OR(AG67="",O67=""),"",_xlfn.IFS(
ROUND(IFERROR(VALUE(TRIM(SUBSTITUTE(AG67,CHAR(160),""))),0),2)&gt;
ROUND(IFERROR(VALUE(TRIM(SUBSTITUTE(O67,CHAR(160),""))),0),2),
"KO : Le montant retenu est supérieur au montant présenté. Merci de revoir la ligne de contributions ou plafonner son montant.",
ROUND(IFERROR(VALUE(TRIM(SUBSTITUTE(O67,CHAR(160),""))),0),2)=0,
"",
ROUND(IFERROR(VALUE(TRIM(SUBSTITUTE(AG67,CHAR(160),""))),0),2)=
ROUND(IFERROR(VALUE(TRIM(SUBSTITUTE(O67,CHAR(160),""))),0),2),
"OK",
ROUND(IFERROR(VALUE(TRIM(SUBSTITUTE(AG67,CHAR(160),""))),0),2)=0,
"Attention : Montant présenté entièrement rejeté.",
ROUND(IFERROR(VALUE(TRIM(SUBSTITUTE(AG67,CHAR(160),""))),0),2)&lt;
ROUND(IFERROR(VALUE(TRIM(SUBSTITUTE(O67,CHAR(160),""))),0),2),
"Attention : Montant présenté partiellement rejeté.",
TRUE,""
))</f>
        <v/>
      </c>
      <c r="AJ67" s="251" t="str">
        <f t="shared" si="19"/>
        <v/>
      </c>
    </row>
    <row r="68" spans="1:36" ht="15" customHeight="1">
      <c r="A68" s="193">
        <v>64</v>
      </c>
      <c r="B68" s="268"/>
      <c r="C68" s="7"/>
      <c r="D68" s="7"/>
      <c r="E68" s="12"/>
      <c r="F68" s="7"/>
      <c r="G68" s="13"/>
      <c r="H68" s="7"/>
      <c r="I68" s="10"/>
      <c r="J68" s="14"/>
      <c r="K68" s="10"/>
      <c r="L68" s="10"/>
      <c r="M68" s="851" t="str">
        <f t="shared" si="0"/>
        <v/>
      </c>
      <c r="N68" s="15"/>
      <c r="O68" s="280" t="str">
        <f t="shared" si="1"/>
        <v/>
      </c>
      <c r="P68" s="7"/>
      <c r="Q68" s="192"/>
      <c r="R68" s="190" t="str">
        <f t="shared" si="20"/>
        <v/>
      </c>
      <c r="S68" s="154" t="str">
        <f t="shared" si="21"/>
        <v/>
      </c>
      <c r="T68" s="154" t="str">
        <f t="shared" si="22"/>
        <v/>
      </c>
      <c r="U68" s="154" t="str">
        <f t="shared" si="23"/>
        <v/>
      </c>
      <c r="V68" s="154" t="str">
        <f t="shared" si="24"/>
        <v/>
      </c>
      <c r="W68" s="110" t="str">
        <f t="shared" si="25"/>
        <v/>
      </c>
      <c r="X68" s="154" t="str">
        <f t="shared" si="26"/>
        <v/>
      </c>
      <c r="Y68" s="111" t="str">
        <f t="shared" si="27"/>
        <v/>
      </c>
      <c r="Z68" s="154" t="str">
        <f t="shared" si="28"/>
        <v/>
      </c>
      <c r="AA68" s="111" t="str">
        <f t="shared" si="29"/>
        <v/>
      </c>
      <c r="AB68" s="111" t="str">
        <f t="shared" si="3"/>
        <v/>
      </c>
      <c r="AC68" s="851" t="str">
        <f t="shared" si="17"/>
        <v/>
      </c>
      <c r="AD68" s="32" t="str">
        <f t="shared" si="4"/>
        <v/>
      </c>
      <c r="AE68" s="154" t="str">
        <f t="shared" si="5"/>
        <v/>
      </c>
      <c r="AF68" s="7"/>
      <c r="AG68" s="280" t="str">
        <f t="shared" si="18"/>
        <v/>
      </c>
      <c r="AH68" s="603"/>
      <c r="AI68" s="252" t="str" cm="1">
        <f t="array" ref="AI68">IF(OR(AG68="",O68=""),"",_xlfn.IFS(
ROUND(IFERROR(VALUE(TRIM(SUBSTITUTE(AG68,CHAR(160),""))),0),2)&gt;
ROUND(IFERROR(VALUE(TRIM(SUBSTITUTE(O68,CHAR(160),""))),0),2),
"KO : Le montant retenu est supérieur au montant présenté. Merci de revoir la ligne de contributions ou plafonner son montant.",
ROUND(IFERROR(VALUE(TRIM(SUBSTITUTE(O68,CHAR(160),""))),0),2)=0,
"",
ROUND(IFERROR(VALUE(TRIM(SUBSTITUTE(AG68,CHAR(160),""))),0),2)=
ROUND(IFERROR(VALUE(TRIM(SUBSTITUTE(O68,CHAR(160),""))),0),2),
"OK",
ROUND(IFERROR(VALUE(TRIM(SUBSTITUTE(AG68,CHAR(160),""))),0),2)=0,
"Attention : Montant présenté entièrement rejeté.",
ROUND(IFERROR(VALUE(TRIM(SUBSTITUTE(AG68,CHAR(160),""))),0),2)&lt;
ROUND(IFERROR(VALUE(TRIM(SUBSTITUTE(O68,CHAR(160),""))),0),2),
"Attention : Montant présenté partiellement rejeté.",
TRUE,""
))</f>
        <v/>
      </c>
      <c r="AJ68" s="251" t="str">
        <f t="shared" si="19"/>
        <v/>
      </c>
    </row>
    <row r="69" spans="1:36" ht="15" customHeight="1">
      <c r="A69" s="193">
        <v>65</v>
      </c>
      <c r="B69" s="268"/>
      <c r="C69" s="7"/>
      <c r="D69" s="7"/>
      <c r="E69" s="12"/>
      <c r="F69" s="7"/>
      <c r="G69" s="13"/>
      <c r="H69" s="7"/>
      <c r="I69" s="10"/>
      <c r="J69" s="14"/>
      <c r="K69" s="10"/>
      <c r="L69" s="10"/>
      <c r="M69" s="851" t="str">
        <f t="shared" si="0"/>
        <v/>
      </c>
      <c r="N69" s="15"/>
      <c r="O69" s="280" t="str">
        <f t="shared" si="1"/>
        <v/>
      </c>
      <c r="P69" s="7"/>
      <c r="Q69" s="192"/>
      <c r="R69" s="190" t="str">
        <f t="shared" si="20"/>
        <v/>
      </c>
      <c r="S69" s="154" t="str">
        <f t="shared" si="21"/>
        <v/>
      </c>
      <c r="T69" s="154" t="str">
        <f t="shared" si="22"/>
        <v/>
      </c>
      <c r="U69" s="154" t="str">
        <f t="shared" si="23"/>
        <v/>
      </c>
      <c r="V69" s="154" t="str">
        <f t="shared" si="24"/>
        <v/>
      </c>
      <c r="W69" s="110" t="str">
        <f t="shared" si="25"/>
        <v/>
      </c>
      <c r="X69" s="154" t="str">
        <f t="shared" si="26"/>
        <v/>
      </c>
      <c r="Y69" s="111" t="str">
        <f t="shared" si="27"/>
        <v/>
      </c>
      <c r="Z69" s="154" t="str">
        <f t="shared" si="28"/>
        <v/>
      </c>
      <c r="AA69" s="111" t="str">
        <f t="shared" si="29"/>
        <v/>
      </c>
      <c r="AB69" s="111" t="str">
        <f t="shared" si="3"/>
        <v/>
      </c>
      <c r="AC69" s="851" t="str">
        <f t="shared" si="17"/>
        <v/>
      </c>
      <c r="AD69" s="32" t="str">
        <f t="shared" si="4"/>
        <v/>
      </c>
      <c r="AE69" s="154" t="str">
        <f t="shared" si="5"/>
        <v/>
      </c>
      <c r="AF69" s="7"/>
      <c r="AG69" s="280" t="str">
        <f t="shared" si="18"/>
        <v/>
      </c>
      <c r="AH69" s="603"/>
      <c r="AI69" s="252" t="str" cm="1">
        <f t="array" ref="AI69">IF(OR(AG69="",O69=""),"",_xlfn.IFS(
ROUND(IFERROR(VALUE(TRIM(SUBSTITUTE(AG69,CHAR(160),""))),0),2)&gt;
ROUND(IFERROR(VALUE(TRIM(SUBSTITUTE(O69,CHAR(160),""))),0),2),
"KO : Le montant retenu est supérieur au montant présenté. Merci de revoir la ligne de contributions ou plafonner son montant.",
ROUND(IFERROR(VALUE(TRIM(SUBSTITUTE(O69,CHAR(160),""))),0),2)=0,
"",
ROUND(IFERROR(VALUE(TRIM(SUBSTITUTE(AG69,CHAR(160),""))),0),2)=
ROUND(IFERROR(VALUE(TRIM(SUBSTITUTE(O69,CHAR(160),""))),0),2),
"OK",
ROUND(IFERROR(VALUE(TRIM(SUBSTITUTE(AG69,CHAR(160),""))),0),2)=0,
"Attention : Montant présenté entièrement rejeté.",
ROUND(IFERROR(VALUE(TRIM(SUBSTITUTE(AG69,CHAR(160),""))),0),2)&lt;
ROUND(IFERROR(VALUE(TRIM(SUBSTITUTE(O69,CHAR(160),""))),0),2),
"Attention : Montant présenté partiellement rejeté.",
TRUE,""
))</f>
        <v/>
      </c>
      <c r="AJ69" s="251" t="str">
        <f t="shared" si="19"/>
        <v/>
      </c>
    </row>
    <row r="70" spans="1:36" ht="15" customHeight="1">
      <c r="A70" s="193">
        <v>66</v>
      </c>
      <c r="B70" s="268"/>
      <c r="C70" s="7"/>
      <c r="D70" s="7"/>
      <c r="E70" s="12"/>
      <c r="F70" s="7"/>
      <c r="G70" s="13"/>
      <c r="H70" s="7"/>
      <c r="I70" s="10"/>
      <c r="J70" s="14"/>
      <c r="K70" s="10"/>
      <c r="L70" s="10"/>
      <c r="M70" s="851" t="str">
        <f t="shared" ref="M70:M104" si="30">IF(K70="","",L70/365)</f>
        <v/>
      </c>
      <c r="N70" s="15"/>
      <c r="O70" s="280" t="str">
        <f t="shared" ref="O70:O104" si="31">IF(K70="","",((N70/K70)*M70)*G70)</f>
        <v/>
      </c>
      <c r="P70" s="7"/>
      <c r="Q70" s="192"/>
      <c r="R70" s="190" t="str">
        <f t="shared" ref="R70:R104" si="32">IF(B70="","",B70)</f>
        <v/>
      </c>
      <c r="S70" s="154" t="str">
        <f t="shared" ref="S70:S104" si="33">IF(C70="","",C70)</f>
        <v/>
      </c>
      <c r="T70" s="154" t="str">
        <f t="shared" ref="T70:T104" si="34">IF(D70="","",D70)</f>
        <v/>
      </c>
      <c r="U70" s="154" t="str">
        <f t="shared" ref="U70:U104" si="35">IF(E70="","",E70)</f>
        <v/>
      </c>
      <c r="V70" s="154" t="str">
        <f t="shared" ref="V70:V104" si="36">IF(F70="","",F70)</f>
        <v/>
      </c>
      <c r="W70" s="110" t="str">
        <f t="shared" ref="W70:W104" si="37">IF(G70="","",G70)</f>
        <v/>
      </c>
      <c r="X70" s="154" t="str">
        <f t="shared" ref="X70:X104" si="38">IF(H70="","",H70)</f>
        <v/>
      </c>
      <c r="Y70" s="111" t="str">
        <f t="shared" ref="Y70:Y104" si="39">IF(I70="","",I70)</f>
        <v/>
      </c>
      <c r="Z70" s="154" t="str">
        <f t="shared" ref="Z70:Z104" si="40">IF(J70="","",J70)</f>
        <v/>
      </c>
      <c r="AA70" s="111" t="str">
        <f t="shared" ref="AA70:AA104" si="41">IF(K70="","",K70)</f>
        <v/>
      </c>
      <c r="AB70" s="111" t="str">
        <f t="shared" ref="AB70:AB104" si="42">IF(L70="","",L70)</f>
        <v/>
      </c>
      <c r="AC70" s="851" t="str">
        <f t="shared" ref="AC70:AC104" si="43">IF(AB70="","",AB70/365)</f>
        <v/>
      </c>
      <c r="AD70" s="32" t="str">
        <f t="shared" ref="AD70:AD104" si="44">IF(N70="","",N70)</f>
        <v/>
      </c>
      <c r="AE70" s="154" t="str">
        <f t="shared" ref="AE70:AE104" si="45">IF(P70="","",P70)</f>
        <v/>
      </c>
      <c r="AF70" s="7"/>
      <c r="AG70" s="280" t="str">
        <f t="shared" ref="AG70:AG104" si="46">IF(AA70="","",((AD70/AA70)*AC70)*W70)</f>
        <v/>
      </c>
      <c r="AH70" s="603"/>
      <c r="AI70" s="252" t="str" cm="1">
        <f t="array" ref="AI70">IF(OR(AG70="",O70=""),"",_xlfn.IFS(
ROUND(IFERROR(VALUE(TRIM(SUBSTITUTE(AG70,CHAR(160),""))),0),2)&gt;
ROUND(IFERROR(VALUE(TRIM(SUBSTITUTE(O70,CHAR(160),""))),0),2),
"KO : Le montant retenu est supérieur au montant présenté. Merci de revoir la ligne de contributions ou plafonner son montant.",
ROUND(IFERROR(VALUE(TRIM(SUBSTITUTE(O70,CHAR(160),""))),0),2)=0,
"",
ROUND(IFERROR(VALUE(TRIM(SUBSTITUTE(AG70,CHAR(160),""))),0),2)=
ROUND(IFERROR(VALUE(TRIM(SUBSTITUTE(O70,CHAR(160),""))),0),2),
"OK",
ROUND(IFERROR(VALUE(TRIM(SUBSTITUTE(AG70,CHAR(160),""))),0),2)=0,
"Attention : Montant présenté entièrement rejeté.",
ROUND(IFERROR(VALUE(TRIM(SUBSTITUTE(AG70,CHAR(160),""))),0),2)&lt;
ROUND(IFERROR(VALUE(TRIM(SUBSTITUTE(O70,CHAR(160),""))),0),2),
"Attention : Montant présenté partiellement rejeté.",
TRUE,""
))</f>
        <v/>
      </c>
      <c r="AJ70" s="251" t="str">
        <f t="shared" ref="AJ70:AJ104" si="47">IF(OR(O70="",AG70=""),"",IFERROR(VALUE(TRIM(SUBSTITUTE(O70,CHAR(160),""))),0)-IFERROR(VALUE(TRIM(SUBSTITUTE(AG70,CHAR(160),""))),0))</f>
        <v/>
      </c>
    </row>
    <row r="71" spans="1:36" ht="15" customHeight="1">
      <c r="A71" s="193">
        <v>67</v>
      </c>
      <c r="B71" s="268"/>
      <c r="C71" s="7"/>
      <c r="D71" s="7"/>
      <c r="E71" s="12"/>
      <c r="F71" s="7"/>
      <c r="G71" s="13"/>
      <c r="H71" s="7"/>
      <c r="I71" s="10"/>
      <c r="J71" s="14"/>
      <c r="K71" s="10"/>
      <c r="L71" s="10"/>
      <c r="M71" s="851" t="str">
        <f t="shared" si="30"/>
        <v/>
      </c>
      <c r="N71" s="15"/>
      <c r="O71" s="280" t="str">
        <f t="shared" si="31"/>
        <v/>
      </c>
      <c r="P71" s="7"/>
      <c r="Q71" s="192"/>
      <c r="R71" s="190" t="str">
        <f t="shared" si="32"/>
        <v/>
      </c>
      <c r="S71" s="154" t="str">
        <f t="shared" si="33"/>
        <v/>
      </c>
      <c r="T71" s="154" t="str">
        <f t="shared" si="34"/>
        <v/>
      </c>
      <c r="U71" s="154" t="str">
        <f t="shared" si="35"/>
        <v/>
      </c>
      <c r="V71" s="154" t="str">
        <f t="shared" si="36"/>
        <v/>
      </c>
      <c r="W71" s="110" t="str">
        <f t="shared" si="37"/>
        <v/>
      </c>
      <c r="X71" s="154" t="str">
        <f t="shared" si="38"/>
        <v/>
      </c>
      <c r="Y71" s="111" t="str">
        <f t="shared" si="39"/>
        <v/>
      </c>
      <c r="Z71" s="154" t="str">
        <f t="shared" si="40"/>
        <v/>
      </c>
      <c r="AA71" s="111" t="str">
        <f t="shared" si="41"/>
        <v/>
      </c>
      <c r="AB71" s="111" t="str">
        <f t="shared" si="42"/>
        <v/>
      </c>
      <c r="AC71" s="851" t="str">
        <f t="shared" si="43"/>
        <v/>
      </c>
      <c r="AD71" s="32" t="str">
        <f t="shared" si="44"/>
        <v/>
      </c>
      <c r="AE71" s="154" t="str">
        <f t="shared" si="45"/>
        <v/>
      </c>
      <c r="AF71" s="7"/>
      <c r="AG71" s="280" t="str">
        <f t="shared" si="46"/>
        <v/>
      </c>
      <c r="AH71" s="603"/>
      <c r="AI71" s="252" t="str" cm="1">
        <f t="array" ref="AI71">IF(OR(AG71="",O71=""),"",_xlfn.IFS(
ROUND(IFERROR(VALUE(TRIM(SUBSTITUTE(AG71,CHAR(160),""))),0),2)&gt;
ROUND(IFERROR(VALUE(TRIM(SUBSTITUTE(O71,CHAR(160),""))),0),2),
"KO : Le montant retenu est supérieur au montant présenté. Merci de revoir la ligne de contributions ou plafonner son montant.",
ROUND(IFERROR(VALUE(TRIM(SUBSTITUTE(O71,CHAR(160),""))),0),2)=0,
"",
ROUND(IFERROR(VALUE(TRIM(SUBSTITUTE(AG71,CHAR(160),""))),0),2)=
ROUND(IFERROR(VALUE(TRIM(SUBSTITUTE(O71,CHAR(160),""))),0),2),
"OK",
ROUND(IFERROR(VALUE(TRIM(SUBSTITUTE(AG71,CHAR(160),""))),0),2)=0,
"Attention : Montant présenté entièrement rejeté.",
ROUND(IFERROR(VALUE(TRIM(SUBSTITUTE(AG71,CHAR(160),""))),0),2)&lt;
ROUND(IFERROR(VALUE(TRIM(SUBSTITUTE(O71,CHAR(160),""))),0),2),
"Attention : Montant présenté partiellement rejeté.",
TRUE,""
))</f>
        <v/>
      </c>
      <c r="AJ71" s="251" t="str">
        <f t="shared" si="47"/>
        <v/>
      </c>
    </row>
    <row r="72" spans="1:36" ht="15" customHeight="1">
      <c r="A72" s="193">
        <v>68</v>
      </c>
      <c r="B72" s="268"/>
      <c r="C72" s="7"/>
      <c r="D72" s="7"/>
      <c r="E72" s="12"/>
      <c r="F72" s="7"/>
      <c r="G72" s="13"/>
      <c r="H72" s="7"/>
      <c r="I72" s="10"/>
      <c r="J72" s="14"/>
      <c r="K72" s="10"/>
      <c r="L72" s="10"/>
      <c r="M72" s="851" t="str">
        <f t="shared" si="30"/>
        <v/>
      </c>
      <c r="N72" s="15"/>
      <c r="O72" s="280" t="str">
        <f t="shared" si="31"/>
        <v/>
      </c>
      <c r="P72" s="7"/>
      <c r="Q72" s="192"/>
      <c r="R72" s="190" t="str">
        <f t="shared" si="32"/>
        <v/>
      </c>
      <c r="S72" s="154" t="str">
        <f t="shared" si="33"/>
        <v/>
      </c>
      <c r="T72" s="154" t="str">
        <f t="shared" si="34"/>
        <v/>
      </c>
      <c r="U72" s="154" t="str">
        <f t="shared" si="35"/>
        <v/>
      </c>
      <c r="V72" s="154" t="str">
        <f t="shared" si="36"/>
        <v/>
      </c>
      <c r="W72" s="110" t="str">
        <f t="shared" si="37"/>
        <v/>
      </c>
      <c r="X72" s="154" t="str">
        <f t="shared" si="38"/>
        <v/>
      </c>
      <c r="Y72" s="111" t="str">
        <f t="shared" si="39"/>
        <v/>
      </c>
      <c r="Z72" s="154" t="str">
        <f t="shared" si="40"/>
        <v/>
      </c>
      <c r="AA72" s="111" t="str">
        <f t="shared" si="41"/>
        <v/>
      </c>
      <c r="AB72" s="111" t="str">
        <f t="shared" si="42"/>
        <v/>
      </c>
      <c r="AC72" s="851" t="str">
        <f t="shared" si="43"/>
        <v/>
      </c>
      <c r="AD72" s="32" t="str">
        <f t="shared" si="44"/>
        <v/>
      </c>
      <c r="AE72" s="154" t="str">
        <f t="shared" si="45"/>
        <v/>
      </c>
      <c r="AF72" s="7"/>
      <c r="AG72" s="280" t="str">
        <f t="shared" si="46"/>
        <v/>
      </c>
      <c r="AH72" s="603"/>
      <c r="AI72" s="252" t="str" cm="1">
        <f t="array" ref="AI72">IF(OR(AG72="",O72=""),"",_xlfn.IFS(
ROUND(IFERROR(VALUE(TRIM(SUBSTITUTE(AG72,CHAR(160),""))),0),2)&gt;
ROUND(IFERROR(VALUE(TRIM(SUBSTITUTE(O72,CHAR(160),""))),0),2),
"KO : Le montant retenu est supérieur au montant présenté. Merci de revoir la ligne de contributions ou plafonner son montant.",
ROUND(IFERROR(VALUE(TRIM(SUBSTITUTE(O72,CHAR(160),""))),0),2)=0,
"",
ROUND(IFERROR(VALUE(TRIM(SUBSTITUTE(AG72,CHAR(160),""))),0),2)=
ROUND(IFERROR(VALUE(TRIM(SUBSTITUTE(O72,CHAR(160),""))),0),2),
"OK",
ROUND(IFERROR(VALUE(TRIM(SUBSTITUTE(AG72,CHAR(160),""))),0),2)=0,
"Attention : Montant présenté entièrement rejeté.",
ROUND(IFERROR(VALUE(TRIM(SUBSTITUTE(AG72,CHAR(160),""))),0),2)&lt;
ROUND(IFERROR(VALUE(TRIM(SUBSTITUTE(O72,CHAR(160),""))),0),2),
"Attention : Montant présenté partiellement rejeté.",
TRUE,""
))</f>
        <v/>
      </c>
      <c r="AJ72" s="251" t="str">
        <f t="shared" si="47"/>
        <v/>
      </c>
    </row>
    <row r="73" spans="1:36" ht="15" customHeight="1">
      <c r="A73" s="193">
        <v>69</v>
      </c>
      <c r="B73" s="268"/>
      <c r="C73" s="7"/>
      <c r="D73" s="7"/>
      <c r="E73" s="12"/>
      <c r="F73" s="7"/>
      <c r="G73" s="13"/>
      <c r="H73" s="7"/>
      <c r="I73" s="10"/>
      <c r="J73" s="14"/>
      <c r="K73" s="10"/>
      <c r="L73" s="10"/>
      <c r="M73" s="851" t="str">
        <f t="shared" si="30"/>
        <v/>
      </c>
      <c r="N73" s="15"/>
      <c r="O73" s="280" t="str">
        <f t="shared" si="31"/>
        <v/>
      </c>
      <c r="P73" s="7"/>
      <c r="Q73" s="192"/>
      <c r="R73" s="190" t="str">
        <f t="shared" si="32"/>
        <v/>
      </c>
      <c r="S73" s="154" t="str">
        <f t="shared" si="33"/>
        <v/>
      </c>
      <c r="T73" s="154" t="str">
        <f t="shared" si="34"/>
        <v/>
      </c>
      <c r="U73" s="154" t="str">
        <f t="shared" si="35"/>
        <v/>
      </c>
      <c r="V73" s="154" t="str">
        <f t="shared" si="36"/>
        <v/>
      </c>
      <c r="W73" s="110" t="str">
        <f t="shared" si="37"/>
        <v/>
      </c>
      <c r="X73" s="154" t="str">
        <f t="shared" si="38"/>
        <v/>
      </c>
      <c r="Y73" s="111" t="str">
        <f t="shared" si="39"/>
        <v/>
      </c>
      <c r="Z73" s="154" t="str">
        <f t="shared" si="40"/>
        <v/>
      </c>
      <c r="AA73" s="111" t="str">
        <f t="shared" si="41"/>
        <v/>
      </c>
      <c r="AB73" s="111" t="str">
        <f t="shared" si="42"/>
        <v/>
      </c>
      <c r="AC73" s="851" t="str">
        <f t="shared" si="43"/>
        <v/>
      </c>
      <c r="AD73" s="32" t="str">
        <f t="shared" si="44"/>
        <v/>
      </c>
      <c r="AE73" s="154" t="str">
        <f t="shared" si="45"/>
        <v/>
      </c>
      <c r="AF73" s="7"/>
      <c r="AG73" s="280" t="str">
        <f t="shared" si="46"/>
        <v/>
      </c>
      <c r="AH73" s="603"/>
      <c r="AI73" s="252" t="str" cm="1">
        <f t="array" ref="AI73">IF(OR(AG73="",O73=""),"",_xlfn.IFS(
ROUND(IFERROR(VALUE(TRIM(SUBSTITUTE(AG73,CHAR(160),""))),0),2)&gt;
ROUND(IFERROR(VALUE(TRIM(SUBSTITUTE(O73,CHAR(160),""))),0),2),
"KO : Le montant retenu est supérieur au montant présenté. Merci de revoir la ligne de contributions ou plafonner son montant.",
ROUND(IFERROR(VALUE(TRIM(SUBSTITUTE(O73,CHAR(160),""))),0),2)=0,
"",
ROUND(IFERROR(VALUE(TRIM(SUBSTITUTE(AG73,CHAR(160),""))),0),2)=
ROUND(IFERROR(VALUE(TRIM(SUBSTITUTE(O73,CHAR(160),""))),0),2),
"OK",
ROUND(IFERROR(VALUE(TRIM(SUBSTITUTE(AG73,CHAR(160),""))),0),2)=0,
"Attention : Montant présenté entièrement rejeté.",
ROUND(IFERROR(VALUE(TRIM(SUBSTITUTE(AG73,CHAR(160),""))),0),2)&lt;
ROUND(IFERROR(VALUE(TRIM(SUBSTITUTE(O73,CHAR(160),""))),0),2),
"Attention : Montant présenté partiellement rejeté.",
TRUE,""
))</f>
        <v/>
      </c>
      <c r="AJ73" s="251" t="str">
        <f t="shared" si="47"/>
        <v/>
      </c>
    </row>
    <row r="74" spans="1:36" ht="15" customHeight="1">
      <c r="A74" s="193">
        <v>70</v>
      </c>
      <c r="B74" s="268"/>
      <c r="C74" s="7"/>
      <c r="D74" s="7"/>
      <c r="E74" s="12"/>
      <c r="F74" s="7"/>
      <c r="G74" s="13"/>
      <c r="H74" s="7"/>
      <c r="I74" s="10"/>
      <c r="J74" s="14"/>
      <c r="K74" s="10"/>
      <c r="L74" s="10"/>
      <c r="M74" s="851" t="str">
        <f t="shared" si="30"/>
        <v/>
      </c>
      <c r="N74" s="15"/>
      <c r="O74" s="280" t="str">
        <f t="shared" si="31"/>
        <v/>
      </c>
      <c r="P74" s="7"/>
      <c r="Q74" s="192"/>
      <c r="R74" s="190" t="str">
        <f t="shared" si="32"/>
        <v/>
      </c>
      <c r="S74" s="154" t="str">
        <f t="shared" si="33"/>
        <v/>
      </c>
      <c r="T74" s="154" t="str">
        <f t="shared" si="34"/>
        <v/>
      </c>
      <c r="U74" s="154" t="str">
        <f t="shared" si="35"/>
        <v/>
      </c>
      <c r="V74" s="154" t="str">
        <f t="shared" si="36"/>
        <v/>
      </c>
      <c r="W74" s="110" t="str">
        <f t="shared" si="37"/>
        <v/>
      </c>
      <c r="X74" s="154" t="str">
        <f t="shared" si="38"/>
        <v/>
      </c>
      <c r="Y74" s="111" t="str">
        <f t="shared" si="39"/>
        <v/>
      </c>
      <c r="Z74" s="154" t="str">
        <f t="shared" si="40"/>
        <v/>
      </c>
      <c r="AA74" s="111" t="str">
        <f t="shared" si="41"/>
        <v/>
      </c>
      <c r="AB74" s="111" t="str">
        <f t="shared" si="42"/>
        <v/>
      </c>
      <c r="AC74" s="851" t="str">
        <f t="shared" si="43"/>
        <v/>
      </c>
      <c r="AD74" s="32" t="str">
        <f t="shared" si="44"/>
        <v/>
      </c>
      <c r="AE74" s="154" t="str">
        <f t="shared" si="45"/>
        <v/>
      </c>
      <c r="AF74" s="7"/>
      <c r="AG74" s="280" t="str">
        <f t="shared" si="46"/>
        <v/>
      </c>
      <c r="AH74" s="603"/>
      <c r="AI74" s="252" t="str" cm="1">
        <f t="array" ref="AI74">IF(OR(AG74="",O74=""),"",_xlfn.IFS(
ROUND(IFERROR(VALUE(TRIM(SUBSTITUTE(AG74,CHAR(160),""))),0),2)&gt;
ROUND(IFERROR(VALUE(TRIM(SUBSTITUTE(O74,CHAR(160),""))),0),2),
"KO : Le montant retenu est supérieur au montant présenté. Merci de revoir la ligne de contributions ou plafonner son montant.",
ROUND(IFERROR(VALUE(TRIM(SUBSTITUTE(O74,CHAR(160),""))),0),2)=0,
"",
ROUND(IFERROR(VALUE(TRIM(SUBSTITUTE(AG74,CHAR(160),""))),0),2)=
ROUND(IFERROR(VALUE(TRIM(SUBSTITUTE(O74,CHAR(160),""))),0),2),
"OK",
ROUND(IFERROR(VALUE(TRIM(SUBSTITUTE(AG74,CHAR(160),""))),0),2)=0,
"Attention : Montant présenté entièrement rejeté.",
ROUND(IFERROR(VALUE(TRIM(SUBSTITUTE(AG74,CHAR(160),""))),0),2)&lt;
ROUND(IFERROR(VALUE(TRIM(SUBSTITUTE(O74,CHAR(160),""))),0),2),
"Attention : Montant présenté partiellement rejeté.",
TRUE,""
))</f>
        <v/>
      </c>
      <c r="AJ74" s="251" t="str">
        <f t="shared" si="47"/>
        <v/>
      </c>
    </row>
    <row r="75" spans="1:36" ht="15" customHeight="1">
      <c r="A75" s="193">
        <v>71</v>
      </c>
      <c r="B75" s="268"/>
      <c r="C75" s="7"/>
      <c r="D75" s="7"/>
      <c r="E75" s="12"/>
      <c r="F75" s="7"/>
      <c r="G75" s="13"/>
      <c r="H75" s="7"/>
      <c r="I75" s="10"/>
      <c r="J75" s="14"/>
      <c r="K75" s="10"/>
      <c r="L75" s="10"/>
      <c r="M75" s="851" t="str">
        <f t="shared" si="30"/>
        <v/>
      </c>
      <c r="N75" s="15"/>
      <c r="O75" s="280" t="str">
        <f t="shared" si="31"/>
        <v/>
      </c>
      <c r="P75" s="7"/>
      <c r="Q75" s="192"/>
      <c r="R75" s="190" t="str">
        <f t="shared" si="32"/>
        <v/>
      </c>
      <c r="S75" s="154" t="str">
        <f t="shared" si="33"/>
        <v/>
      </c>
      <c r="T75" s="154" t="str">
        <f t="shared" si="34"/>
        <v/>
      </c>
      <c r="U75" s="154" t="str">
        <f t="shared" si="35"/>
        <v/>
      </c>
      <c r="V75" s="154" t="str">
        <f t="shared" si="36"/>
        <v/>
      </c>
      <c r="W75" s="110" t="str">
        <f t="shared" si="37"/>
        <v/>
      </c>
      <c r="X75" s="154" t="str">
        <f t="shared" si="38"/>
        <v/>
      </c>
      <c r="Y75" s="111" t="str">
        <f t="shared" si="39"/>
        <v/>
      </c>
      <c r="Z75" s="154" t="str">
        <f t="shared" si="40"/>
        <v/>
      </c>
      <c r="AA75" s="111" t="str">
        <f t="shared" si="41"/>
        <v/>
      </c>
      <c r="AB75" s="111" t="str">
        <f t="shared" si="42"/>
        <v/>
      </c>
      <c r="AC75" s="851" t="str">
        <f t="shared" si="43"/>
        <v/>
      </c>
      <c r="AD75" s="32" t="str">
        <f t="shared" si="44"/>
        <v/>
      </c>
      <c r="AE75" s="154" t="str">
        <f t="shared" si="45"/>
        <v/>
      </c>
      <c r="AF75" s="7"/>
      <c r="AG75" s="280" t="str">
        <f t="shared" si="46"/>
        <v/>
      </c>
      <c r="AH75" s="603"/>
      <c r="AI75" s="252" t="str" cm="1">
        <f t="array" ref="AI75">IF(OR(AG75="",O75=""),"",_xlfn.IFS(
ROUND(IFERROR(VALUE(TRIM(SUBSTITUTE(AG75,CHAR(160),""))),0),2)&gt;
ROUND(IFERROR(VALUE(TRIM(SUBSTITUTE(O75,CHAR(160),""))),0),2),
"KO : Le montant retenu est supérieur au montant présenté. Merci de revoir la ligne de contributions ou plafonner son montant.",
ROUND(IFERROR(VALUE(TRIM(SUBSTITUTE(O75,CHAR(160),""))),0),2)=0,
"",
ROUND(IFERROR(VALUE(TRIM(SUBSTITUTE(AG75,CHAR(160),""))),0),2)=
ROUND(IFERROR(VALUE(TRIM(SUBSTITUTE(O75,CHAR(160),""))),0),2),
"OK",
ROUND(IFERROR(VALUE(TRIM(SUBSTITUTE(AG75,CHAR(160),""))),0),2)=0,
"Attention : Montant présenté entièrement rejeté.",
ROUND(IFERROR(VALUE(TRIM(SUBSTITUTE(AG75,CHAR(160),""))),0),2)&lt;
ROUND(IFERROR(VALUE(TRIM(SUBSTITUTE(O75,CHAR(160),""))),0),2),
"Attention : Montant présenté partiellement rejeté.",
TRUE,""
))</f>
        <v/>
      </c>
      <c r="AJ75" s="251" t="str">
        <f t="shared" si="47"/>
        <v/>
      </c>
    </row>
    <row r="76" spans="1:36" ht="15" customHeight="1">
      <c r="A76" s="193">
        <v>72</v>
      </c>
      <c r="B76" s="268"/>
      <c r="C76" s="7"/>
      <c r="D76" s="7"/>
      <c r="E76" s="12"/>
      <c r="F76" s="7"/>
      <c r="G76" s="13"/>
      <c r="H76" s="7"/>
      <c r="I76" s="10"/>
      <c r="J76" s="14"/>
      <c r="K76" s="10"/>
      <c r="L76" s="10"/>
      <c r="M76" s="851" t="str">
        <f t="shared" si="30"/>
        <v/>
      </c>
      <c r="N76" s="15"/>
      <c r="O76" s="280" t="str">
        <f t="shared" si="31"/>
        <v/>
      </c>
      <c r="P76" s="7"/>
      <c r="Q76" s="192"/>
      <c r="R76" s="190" t="str">
        <f t="shared" si="32"/>
        <v/>
      </c>
      <c r="S76" s="154" t="str">
        <f t="shared" si="33"/>
        <v/>
      </c>
      <c r="T76" s="154" t="str">
        <f t="shared" si="34"/>
        <v/>
      </c>
      <c r="U76" s="154" t="str">
        <f t="shared" si="35"/>
        <v/>
      </c>
      <c r="V76" s="154" t="str">
        <f t="shared" si="36"/>
        <v/>
      </c>
      <c r="W76" s="110" t="str">
        <f t="shared" si="37"/>
        <v/>
      </c>
      <c r="X76" s="154" t="str">
        <f t="shared" si="38"/>
        <v/>
      </c>
      <c r="Y76" s="111" t="str">
        <f t="shared" si="39"/>
        <v/>
      </c>
      <c r="Z76" s="154" t="str">
        <f t="shared" si="40"/>
        <v/>
      </c>
      <c r="AA76" s="111" t="str">
        <f t="shared" si="41"/>
        <v/>
      </c>
      <c r="AB76" s="111" t="str">
        <f t="shared" si="42"/>
        <v/>
      </c>
      <c r="AC76" s="851" t="str">
        <f t="shared" si="43"/>
        <v/>
      </c>
      <c r="AD76" s="32" t="str">
        <f t="shared" si="44"/>
        <v/>
      </c>
      <c r="AE76" s="154" t="str">
        <f t="shared" si="45"/>
        <v/>
      </c>
      <c r="AF76" s="7"/>
      <c r="AG76" s="280" t="str">
        <f t="shared" si="46"/>
        <v/>
      </c>
      <c r="AH76" s="603"/>
      <c r="AI76" s="252" t="str" cm="1">
        <f t="array" ref="AI76">IF(OR(AG76="",O76=""),"",_xlfn.IFS(
ROUND(IFERROR(VALUE(TRIM(SUBSTITUTE(AG76,CHAR(160),""))),0),2)&gt;
ROUND(IFERROR(VALUE(TRIM(SUBSTITUTE(O76,CHAR(160),""))),0),2),
"KO : Le montant retenu est supérieur au montant présenté. Merci de revoir la ligne de contributions ou plafonner son montant.",
ROUND(IFERROR(VALUE(TRIM(SUBSTITUTE(O76,CHAR(160),""))),0),2)=0,
"",
ROUND(IFERROR(VALUE(TRIM(SUBSTITUTE(AG76,CHAR(160),""))),0),2)=
ROUND(IFERROR(VALUE(TRIM(SUBSTITUTE(O76,CHAR(160),""))),0),2),
"OK",
ROUND(IFERROR(VALUE(TRIM(SUBSTITUTE(AG76,CHAR(160),""))),0),2)=0,
"Attention : Montant présenté entièrement rejeté.",
ROUND(IFERROR(VALUE(TRIM(SUBSTITUTE(AG76,CHAR(160),""))),0),2)&lt;
ROUND(IFERROR(VALUE(TRIM(SUBSTITUTE(O76,CHAR(160),""))),0),2),
"Attention : Montant présenté partiellement rejeté.",
TRUE,""
))</f>
        <v/>
      </c>
      <c r="AJ76" s="251" t="str">
        <f t="shared" si="47"/>
        <v/>
      </c>
    </row>
    <row r="77" spans="1:36" ht="15" customHeight="1">
      <c r="A77" s="193">
        <v>73</v>
      </c>
      <c r="B77" s="268"/>
      <c r="C77" s="7"/>
      <c r="D77" s="7"/>
      <c r="E77" s="12"/>
      <c r="F77" s="7"/>
      <c r="G77" s="13"/>
      <c r="H77" s="7"/>
      <c r="I77" s="10"/>
      <c r="J77" s="14"/>
      <c r="K77" s="10"/>
      <c r="L77" s="10"/>
      <c r="M77" s="851" t="str">
        <f t="shared" si="30"/>
        <v/>
      </c>
      <c r="N77" s="15"/>
      <c r="O77" s="280" t="str">
        <f t="shared" si="31"/>
        <v/>
      </c>
      <c r="P77" s="7"/>
      <c r="Q77" s="192"/>
      <c r="R77" s="190" t="str">
        <f t="shared" si="32"/>
        <v/>
      </c>
      <c r="S77" s="154" t="str">
        <f t="shared" si="33"/>
        <v/>
      </c>
      <c r="T77" s="154" t="str">
        <f t="shared" si="34"/>
        <v/>
      </c>
      <c r="U77" s="154" t="str">
        <f t="shared" si="35"/>
        <v/>
      </c>
      <c r="V77" s="154" t="str">
        <f t="shared" si="36"/>
        <v/>
      </c>
      <c r="W77" s="110" t="str">
        <f t="shared" si="37"/>
        <v/>
      </c>
      <c r="X77" s="154" t="str">
        <f t="shared" si="38"/>
        <v/>
      </c>
      <c r="Y77" s="111" t="str">
        <f t="shared" si="39"/>
        <v/>
      </c>
      <c r="Z77" s="154" t="str">
        <f t="shared" si="40"/>
        <v/>
      </c>
      <c r="AA77" s="111" t="str">
        <f t="shared" si="41"/>
        <v/>
      </c>
      <c r="AB77" s="111" t="str">
        <f t="shared" si="42"/>
        <v/>
      </c>
      <c r="AC77" s="851" t="str">
        <f t="shared" si="43"/>
        <v/>
      </c>
      <c r="AD77" s="32" t="str">
        <f t="shared" si="44"/>
        <v/>
      </c>
      <c r="AE77" s="154" t="str">
        <f t="shared" si="45"/>
        <v/>
      </c>
      <c r="AF77" s="7"/>
      <c r="AG77" s="280" t="str">
        <f t="shared" si="46"/>
        <v/>
      </c>
      <c r="AH77" s="603"/>
      <c r="AI77" s="252" t="str" cm="1">
        <f t="array" ref="AI77">IF(OR(AG77="",O77=""),"",_xlfn.IFS(
ROUND(IFERROR(VALUE(TRIM(SUBSTITUTE(AG77,CHAR(160),""))),0),2)&gt;
ROUND(IFERROR(VALUE(TRIM(SUBSTITUTE(O77,CHAR(160),""))),0),2),
"KO : Le montant retenu est supérieur au montant présenté. Merci de revoir la ligne de contributions ou plafonner son montant.",
ROUND(IFERROR(VALUE(TRIM(SUBSTITUTE(O77,CHAR(160),""))),0),2)=0,
"",
ROUND(IFERROR(VALUE(TRIM(SUBSTITUTE(AG77,CHAR(160),""))),0),2)=
ROUND(IFERROR(VALUE(TRIM(SUBSTITUTE(O77,CHAR(160),""))),0),2),
"OK",
ROUND(IFERROR(VALUE(TRIM(SUBSTITUTE(AG77,CHAR(160),""))),0),2)=0,
"Attention : Montant présenté entièrement rejeté.",
ROUND(IFERROR(VALUE(TRIM(SUBSTITUTE(AG77,CHAR(160),""))),0),2)&lt;
ROUND(IFERROR(VALUE(TRIM(SUBSTITUTE(O77,CHAR(160),""))),0),2),
"Attention : Montant présenté partiellement rejeté.",
TRUE,""
))</f>
        <v/>
      </c>
      <c r="AJ77" s="251" t="str">
        <f t="shared" si="47"/>
        <v/>
      </c>
    </row>
    <row r="78" spans="1:36" ht="15" customHeight="1">
      <c r="A78" s="193">
        <v>74</v>
      </c>
      <c r="B78" s="268"/>
      <c r="C78" s="7"/>
      <c r="D78" s="7"/>
      <c r="E78" s="12"/>
      <c r="F78" s="7"/>
      <c r="G78" s="13"/>
      <c r="H78" s="7"/>
      <c r="I78" s="10"/>
      <c r="J78" s="14"/>
      <c r="K78" s="10"/>
      <c r="L78" s="10"/>
      <c r="M78" s="851" t="str">
        <f t="shared" si="30"/>
        <v/>
      </c>
      <c r="N78" s="15"/>
      <c r="O78" s="280" t="str">
        <f t="shared" si="31"/>
        <v/>
      </c>
      <c r="P78" s="7"/>
      <c r="Q78" s="192"/>
      <c r="R78" s="190" t="str">
        <f t="shared" si="32"/>
        <v/>
      </c>
      <c r="S78" s="154" t="str">
        <f t="shared" si="33"/>
        <v/>
      </c>
      <c r="T78" s="154" t="str">
        <f t="shared" si="34"/>
        <v/>
      </c>
      <c r="U78" s="154" t="str">
        <f t="shared" si="35"/>
        <v/>
      </c>
      <c r="V78" s="154" t="str">
        <f t="shared" si="36"/>
        <v/>
      </c>
      <c r="W78" s="110" t="str">
        <f t="shared" si="37"/>
        <v/>
      </c>
      <c r="X78" s="154" t="str">
        <f t="shared" si="38"/>
        <v/>
      </c>
      <c r="Y78" s="111" t="str">
        <f t="shared" si="39"/>
        <v/>
      </c>
      <c r="Z78" s="154" t="str">
        <f t="shared" si="40"/>
        <v/>
      </c>
      <c r="AA78" s="111" t="str">
        <f t="shared" si="41"/>
        <v/>
      </c>
      <c r="AB78" s="111" t="str">
        <f t="shared" si="42"/>
        <v/>
      </c>
      <c r="AC78" s="851" t="str">
        <f t="shared" si="43"/>
        <v/>
      </c>
      <c r="AD78" s="32" t="str">
        <f t="shared" si="44"/>
        <v/>
      </c>
      <c r="AE78" s="154" t="str">
        <f t="shared" si="45"/>
        <v/>
      </c>
      <c r="AF78" s="7"/>
      <c r="AG78" s="280" t="str">
        <f t="shared" si="46"/>
        <v/>
      </c>
      <c r="AH78" s="603"/>
      <c r="AI78" s="252" t="str" cm="1">
        <f t="array" ref="AI78">IF(OR(AG78="",O78=""),"",_xlfn.IFS(
ROUND(IFERROR(VALUE(TRIM(SUBSTITUTE(AG78,CHAR(160),""))),0),2)&gt;
ROUND(IFERROR(VALUE(TRIM(SUBSTITUTE(O78,CHAR(160),""))),0),2),
"KO : Le montant retenu est supérieur au montant présenté. Merci de revoir la ligne de contributions ou plafonner son montant.",
ROUND(IFERROR(VALUE(TRIM(SUBSTITUTE(O78,CHAR(160),""))),0),2)=0,
"",
ROUND(IFERROR(VALUE(TRIM(SUBSTITUTE(AG78,CHAR(160),""))),0),2)=
ROUND(IFERROR(VALUE(TRIM(SUBSTITUTE(O78,CHAR(160),""))),0),2),
"OK",
ROUND(IFERROR(VALUE(TRIM(SUBSTITUTE(AG78,CHAR(160),""))),0),2)=0,
"Attention : Montant présenté entièrement rejeté.",
ROUND(IFERROR(VALUE(TRIM(SUBSTITUTE(AG78,CHAR(160),""))),0),2)&lt;
ROUND(IFERROR(VALUE(TRIM(SUBSTITUTE(O78,CHAR(160),""))),0),2),
"Attention : Montant présenté partiellement rejeté.",
TRUE,""
))</f>
        <v/>
      </c>
      <c r="AJ78" s="251" t="str">
        <f t="shared" si="47"/>
        <v/>
      </c>
    </row>
    <row r="79" spans="1:36" ht="15" customHeight="1">
      <c r="A79" s="193">
        <v>75</v>
      </c>
      <c r="B79" s="268"/>
      <c r="C79" s="7"/>
      <c r="D79" s="7"/>
      <c r="E79" s="12"/>
      <c r="F79" s="7"/>
      <c r="G79" s="13"/>
      <c r="H79" s="7"/>
      <c r="I79" s="10"/>
      <c r="J79" s="14"/>
      <c r="K79" s="10"/>
      <c r="L79" s="10"/>
      <c r="M79" s="851" t="str">
        <f t="shared" si="30"/>
        <v/>
      </c>
      <c r="N79" s="15"/>
      <c r="O79" s="280" t="str">
        <f t="shared" si="31"/>
        <v/>
      </c>
      <c r="P79" s="7"/>
      <c r="Q79" s="192"/>
      <c r="R79" s="190" t="str">
        <f t="shared" si="32"/>
        <v/>
      </c>
      <c r="S79" s="154" t="str">
        <f t="shared" si="33"/>
        <v/>
      </c>
      <c r="T79" s="154" t="str">
        <f t="shared" si="34"/>
        <v/>
      </c>
      <c r="U79" s="154" t="str">
        <f t="shared" si="35"/>
        <v/>
      </c>
      <c r="V79" s="154" t="str">
        <f t="shared" si="36"/>
        <v/>
      </c>
      <c r="W79" s="110" t="str">
        <f t="shared" si="37"/>
        <v/>
      </c>
      <c r="X79" s="154" t="str">
        <f t="shared" si="38"/>
        <v/>
      </c>
      <c r="Y79" s="111" t="str">
        <f t="shared" si="39"/>
        <v/>
      </c>
      <c r="Z79" s="154" t="str">
        <f t="shared" si="40"/>
        <v/>
      </c>
      <c r="AA79" s="111" t="str">
        <f t="shared" si="41"/>
        <v/>
      </c>
      <c r="AB79" s="111" t="str">
        <f t="shared" si="42"/>
        <v/>
      </c>
      <c r="AC79" s="851" t="str">
        <f t="shared" si="43"/>
        <v/>
      </c>
      <c r="AD79" s="32" t="str">
        <f t="shared" si="44"/>
        <v/>
      </c>
      <c r="AE79" s="154" t="str">
        <f t="shared" si="45"/>
        <v/>
      </c>
      <c r="AF79" s="7"/>
      <c r="AG79" s="280" t="str">
        <f t="shared" si="46"/>
        <v/>
      </c>
      <c r="AH79" s="603"/>
      <c r="AI79" s="252" t="str" cm="1">
        <f t="array" ref="AI79">IF(OR(AG79="",O79=""),"",_xlfn.IFS(
ROUND(IFERROR(VALUE(TRIM(SUBSTITUTE(AG79,CHAR(160),""))),0),2)&gt;
ROUND(IFERROR(VALUE(TRIM(SUBSTITUTE(O79,CHAR(160),""))),0),2),
"KO : Le montant retenu est supérieur au montant présenté. Merci de revoir la ligne de contributions ou plafonner son montant.",
ROUND(IFERROR(VALUE(TRIM(SUBSTITUTE(O79,CHAR(160),""))),0),2)=0,
"",
ROUND(IFERROR(VALUE(TRIM(SUBSTITUTE(AG79,CHAR(160),""))),0),2)=
ROUND(IFERROR(VALUE(TRIM(SUBSTITUTE(O79,CHAR(160),""))),0),2),
"OK",
ROUND(IFERROR(VALUE(TRIM(SUBSTITUTE(AG79,CHAR(160),""))),0),2)=0,
"Attention : Montant présenté entièrement rejeté.",
ROUND(IFERROR(VALUE(TRIM(SUBSTITUTE(AG79,CHAR(160),""))),0),2)&lt;
ROUND(IFERROR(VALUE(TRIM(SUBSTITUTE(O79,CHAR(160),""))),0),2),
"Attention : Montant présenté partiellement rejeté.",
TRUE,""
))</f>
        <v/>
      </c>
      <c r="AJ79" s="251" t="str">
        <f t="shared" si="47"/>
        <v/>
      </c>
    </row>
    <row r="80" spans="1:36" ht="15" customHeight="1">
      <c r="A80" s="193">
        <v>76</v>
      </c>
      <c r="B80" s="268"/>
      <c r="C80" s="7"/>
      <c r="D80" s="7"/>
      <c r="E80" s="12"/>
      <c r="F80" s="7"/>
      <c r="G80" s="13"/>
      <c r="H80" s="7"/>
      <c r="I80" s="10"/>
      <c r="J80" s="14"/>
      <c r="K80" s="10"/>
      <c r="L80" s="10"/>
      <c r="M80" s="851" t="str">
        <f t="shared" si="30"/>
        <v/>
      </c>
      <c r="N80" s="15"/>
      <c r="O80" s="280" t="str">
        <f t="shared" si="31"/>
        <v/>
      </c>
      <c r="P80" s="7"/>
      <c r="Q80" s="192"/>
      <c r="R80" s="190" t="str">
        <f t="shared" si="32"/>
        <v/>
      </c>
      <c r="S80" s="154" t="str">
        <f t="shared" si="33"/>
        <v/>
      </c>
      <c r="T80" s="154" t="str">
        <f t="shared" si="34"/>
        <v/>
      </c>
      <c r="U80" s="154" t="str">
        <f t="shared" si="35"/>
        <v/>
      </c>
      <c r="V80" s="154" t="str">
        <f t="shared" si="36"/>
        <v/>
      </c>
      <c r="W80" s="110" t="str">
        <f t="shared" si="37"/>
        <v/>
      </c>
      <c r="X80" s="154" t="str">
        <f t="shared" si="38"/>
        <v/>
      </c>
      <c r="Y80" s="111" t="str">
        <f t="shared" si="39"/>
        <v/>
      </c>
      <c r="Z80" s="154" t="str">
        <f t="shared" si="40"/>
        <v/>
      </c>
      <c r="AA80" s="111" t="str">
        <f t="shared" si="41"/>
        <v/>
      </c>
      <c r="AB80" s="111" t="str">
        <f t="shared" si="42"/>
        <v/>
      </c>
      <c r="AC80" s="851" t="str">
        <f t="shared" si="43"/>
        <v/>
      </c>
      <c r="AD80" s="32" t="str">
        <f t="shared" si="44"/>
        <v/>
      </c>
      <c r="AE80" s="154" t="str">
        <f t="shared" si="45"/>
        <v/>
      </c>
      <c r="AF80" s="7"/>
      <c r="AG80" s="280" t="str">
        <f t="shared" si="46"/>
        <v/>
      </c>
      <c r="AH80" s="603"/>
      <c r="AI80" s="252" t="str" cm="1">
        <f t="array" ref="AI80">IF(OR(AG80="",O80=""),"",_xlfn.IFS(
ROUND(IFERROR(VALUE(TRIM(SUBSTITUTE(AG80,CHAR(160),""))),0),2)&gt;
ROUND(IFERROR(VALUE(TRIM(SUBSTITUTE(O80,CHAR(160),""))),0),2),
"KO : Le montant retenu est supérieur au montant présenté. Merci de revoir la ligne de contributions ou plafonner son montant.",
ROUND(IFERROR(VALUE(TRIM(SUBSTITUTE(O80,CHAR(160),""))),0),2)=0,
"",
ROUND(IFERROR(VALUE(TRIM(SUBSTITUTE(AG80,CHAR(160),""))),0),2)=
ROUND(IFERROR(VALUE(TRIM(SUBSTITUTE(O80,CHAR(160),""))),0),2),
"OK",
ROUND(IFERROR(VALUE(TRIM(SUBSTITUTE(AG80,CHAR(160),""))),0),2)=0,
"Attention : Montant présenté entièrement rejeté.",
ROUND(IFERROR(VALUE(TRIM(SUBSTITUTE(AG80,CHAR(160),""))),0),2)&lt;
ROUND(IFERROR(VALUE(TRIM(SUBSTITUTE(O80,CHAR(160),""))),0),2),
"Attention : Montant présenté partiellement rejeté.",
TRUE,""
))</f>
        <v/>
      </c>
      <c r="AJ80" s="251" t="str">
        <f t="shared" si="47"/>
        <v/>
      </c>
    </row>
    <row r="81" spans="1:36" ht="15" customHeight="1">
      <c r="A81" s="193">
        <v>77</v>
      </c>
      <c r="B81" s="268"/>
      <c r="C81" s="7"/>
      <c r="D81" s="7"/>
      <c r="E81" s="12"/>
      <c r="F81" s="7"/>
      <c r="G81" s="13"/>
      <c r="H81" s="7"/>
      <c r="I81" s="10"/>
      <c r="J81" s="14"/>
      <c r="K81" s="10"/>
      <c r="L81" s="10"/>
      <c r="M81" s="851" t="str">
        <f t="shared" si="30"/>
        <v/>
      </c>
      <c r="N81" s="15"/>
      <c r="O81" s="280" t="str">
        <f t="shared" si="31"/>
        <v/>
      </c>
      <c r="P81" s="7"/>
      <c r="Q81" s="192"/>
      <c r="R81" s="190" t="str">
        <f t="shared" si="32"/>
        <v/>
      </c>
      <c r="S81" s="154" t="str">
        <f t="shared" si="33"/>
        <v/>
      </c>
      <c r="T81" s="154" t="str">
        <f t="shared" si="34"/>
        <v/>
      </c>
      <c r="U81" s="154" t="str">
        <f t="shared" si="35"/>
        <v/>
      </c>
      <c r="V81" s="154" t="str">
        <f t="shared" si="36"/>
        <v/>
      </c>
      <c r="W81" s="110" t="str">
        <f t="shared" si="37"/>
        <v/>
      </c>
      <c r="X81" s="154" t="str">
        <f t="shared" si="38"/>
        <v/>
      </c>
      <c r="Y81" s="111" t="str">
        <f t="shared" si="39"/>
        <v/>
      </c>
      <c r="Z81" s="154" t="str">
        <f t="shared" si="40"/>
        <v/>
      </c>
      <c r="AA81" s="111" t="str">
        <f t="shared" si="41"/>
        <v/>
      </c>
      <c r="AB81" s="111" t="str">
        <f t="shared" si="42"/>
        <v/>
      </c>
      <c r="AC81" s="851" t="str">
        <f t="shared" si="43"/>
        <v/>
      </c>
      <c r="AD81" s="32" t="str">
        <f t="shared" si="44"/>
        <v/>
      </c>
      <c r="AE81" s="154" t="str">
        <f t="shared" si="45"/>
        <v/>
      </c>
      <c r="AF81" s="7"/>
      <c r="AG81" s="280" t="str">
        <f t="shared" si="46"/>
        <v/>
      </c>
      <c r="AH81" s="603"/>
      <c r="AI81" s="252" t="str" cm="1">
        <f t="array" ref="AI81">IF(OR(AG81="",O81=""),"",_xlfn.IFS(
ROUND(IFERROR(VALUE(TRIM(SUBSTITUTE(AG81,CHAR(160),""))),0),2)&gt;
ROUND(IFERROR(VALUE(TRIM(SUBSTITUTE(O81,CHAR(160),""))),0),2),
"KO : Le montant retenu est supérieur au montant présenté. Merci de revoir la ligne de contributions ou plafonner son montant.",
ROUND(IFERROR(VALUE(TRIM(SUBSTITUTE(O81,CHAR(160),""))),0),2)=0,
"",
ROUND(IFERROR(VALUE(TRIM(SUBSTITUTE(AG81,CHAR(160),""))),0),2)=
ROUND(IFERROR(VALUE(TRIM(SUBSTITUTE(O81,CHAR(160),""))),0),2),
"OK",
ROUND(IFERROR(VALUE(TRIM(SUBSTITUTE(AG81,CHAR(160),""))),0),2)=0,
"Attention : Montant présenté entièrement rejeté.",
ROUND(IFERROR(VALUE(TRIM(SUBSTITUTE(AG81,CHAR(160),""))),0),2)&lt;
ROUND(IFERROR(VALUE(TRIM(SUBSTITUTE(O81,CHAR(160),""))),0),2),
"Attention : Montant présenté partiellement rejeté.",
TRUE,""
))</f>
        <v/>
      </c>
      <c r="AJ81" s="251" t="str">
        <f t="shared" si="47"/>
        <v/>
      </c>
    </row>
    <row r="82" spans="1:36" ht="15" customHeight="1">
      <c r="A82" s="193">
        <v>78</v>
      </c>
      <c r="B82" s="268"/>
      <c r="C82" s="7"/>
      <c r="D82" s="7"/>
      <c r="E82" s="12"/>
      <c r="F82" s="7"/>
      <c r="G82" s="13"/>
      <c r="H82" s="7"/>
      <c r="I82" s="10"/>
      <c r="J82" s="14"/>
      <c r="K82" s="10"/>
      <c r="L82" s="10"/>
      <c r="M82" s="851" t="str">
        <f t="shared" si="30"/>
        <v/>
      </c>
      <c r="N82" s="15"/>
      <c r="O82" s="280" t="str">
        <f t="shared" si="31"/>
        <v/>
      </c>
      <c r="P82" s="7"/>
      <c r="Q82" s="192"/>
      <c r="R82" s="190" t="str">
        <f t="shared" si="32"/>
        <v/>
      </c>
      <c r="S82" s="154" t="str">
        <f t="shared" si="33"/>
        <v/>
      </c>
      <c r="T82" s="154" t="str">
        <f t="shared" si="34"/>
        <v/>
      </c>
      <c r="U82" s="154" t="str">
        <f t="shared" si="35"/>
        <v/>
      </c>
      <c r="V82" s="154" t="str">
        <f t="shared" si="36"/>
        <v/>
      </c>
      <c r="W82" s="110" t="str">
        <f t="shared" si="37"/>
        <v/>
      </c>
      <c r="X82" s="154" t="str">
        <f t="shared" si="38"/>
        <v/>
      </c>
      <c r="Y82" s="111" t="str">
        <f t="shared" si="39"/>
        <v/>
      </c>
      <c r="Z82" s="154" t="str">
        <f t="shared" si="40"/>
        <v/>
      </c>
      <c r="AA82" s="111" t="str">
        <f t="shared" si="41"/>
        <v/>
      </c>
      <c r="AB82" s="111" t="str">
        <f t="shared" si="42"/>
        <v/>
      </c>
      <c r="AC82" s="851" t="str">
        <f t="shared" si="43"/>
        <v/>
      </c>
      <c r="AD82" s="32" t="str">
        <f t="shared" si="44"/>
        <v/>
      </c>
      <c r="AE82" s="154" t="str">
        <f t="shared" si="45"/>
        <v/>
      </c>
      <c r="AF82" s="7"/>
      <c r="AG82" s="280" t="str">
        <f t="shared" si="46"/>
        <v/>
      </c>
      <c r="AH82" s="603"/>
      <c r="AI82" s="252" t="str" cm="1">
        <f t="array" ref="AI82">IF(OR(AG82="",O82=""),"",_xlfn.IFS(
ROUND(IFERROR(VALUE(TRIM(SUBSTITUTE(AG82,CHAR(160),""))),0),2)&gt;
ROUND(IFERROR(VALUE(TRIM(SUBSTITUTE(O82,CHAR(160),""))),0),2),
"KO : Le montant retenu est supérieur au montant présenté. Merci de revoir la ligne de contributions ou plafonner son montant.",
ROUND(IFERROR(VALUE(TRIM(SUBSTITUTE(O82,CHAR(160),""))),0),2)=0,
"",
ROUND(IFERROR(VALUE(TRIM(SUBSTITUTE(AG82,CHAR(160),""))),0),2)=
ROUND(IFERROR(VALUE(TRIM(SUBSTITUTE(O82,CHAR(160),""))),0),2),
"OK",
ROUND(IFERROR(VALUE(TRIM(SUBSTITUTE(AG82,CHAR(160),""))),0),2)=0,
"Attention : Montant présenté entièrement rejeté.",
ROUND(IFERROR(VALUE(TRIM(SUBSTITUTE(AG82,CHAR(160),""))),0),2)&lt;
ROUND(IFERROR(VALUE(TRIM(SUBSTITUTE(O82,CHAR(160),""))),0),2),
"Attention : Montant présenté partiellement rejeté.",
TRUE,""
))</f>
        <v/>
      </c>
      <c r="AJ82" s="251" t="str">
        <f t="shared" si="47"/>
        <v/>
      </c>
    </row>
    <row r="83" spans="1:36" ht="15" customHeight="1">
      <c r="A83" s="193">
        <v>79</v>
      </c>
      <c r="B83" s="268"/>
      <c r="C83" s="7"/>
      <c r="D83" s="7"/>
      <c r="E83" s="12"/>
      <c r="F83" s="7"/>
      <c r="G83" s="13"/>
      <c r="H83" s="7"/>
      <c r="I83" s="10"/>
      <c r="J83" s="14"/>
      <c r="K83" s="10"/>
      <c r="L83" s="10"/>
      <c r="M83" s="851" t="str">
        <f t="shared" si="30"/>
        <v/>
      </c>
      <c r="N83" s="15"/>
      <c r="O83" s="280" t="str">
        <f t="shared" si="31"/>
        <v/>
      </c>
      <c r="P83" s="7"/>
      <c r="Q83" s="192"/>
      <c r="R83" s="190" t="str">
        <f t="shared" si="32"/>
        <v/>
      </c>
      <c r="S83" s="154" t="str">
        <f t="shared" si="33"/>
        <v/>
      </c>
      <c r="T83" s="154" t="str">
        <f t="shared" si="34"/>
        <v/>
      </c>
      <c r="U83" s="154" t="str">
        <f t="shared" si="35"/>
        <v/>
      </c>
      <c r="V83" s="154" t="str">
        <f t="shared" si="36"/>
        <v/>
      </c>
      <c r="W83" s="110" t="str">
        <f t="shared" si="37"/>
        <v/>
      </c>
      <c r="X83" s="154" t="str">
        <f t="shared" si="38"/>
        <v/>
      </c>
      <c r="Y83" s="111" t="str">
        <f t="shared" si="39"/>
        <v/>
      </c>
      <c r="Z83" s="154" t="str">
        <f t="shared" si="40"/>
        <v/>
      </c>
      <c r="AA83" s="111" t="str">
        <f t="shared" si="41"/>
        <v/>
      </c>
      <c r="AB83" s="111" t="str">
        <f t="shared" si="42"/>
        <v/>
      </c>
      <c r="AC83" s="851" t="str">
        <f t="shared" si="43"/>
        <v/>
      </c>
      <c r="AD83" s="32" t="str">
        <f t="shared" si="44"/>
        <v/>
      </c>
      <c r="AE83" s="154" t="str">
        <f t="shared" si="45"/>
        <v/>
      </c>
      <c r="AF83" s="7"/>
      <c r="AG83" s="280" t="str">
        <f t="shared" si="46"/>
        <v/>
      </c>
      <c r="AH83" s="603"/>
      <c r="AI83" s="252" t="str" cm="1">
        <f t="array" ref="AI83">IF(OR(AG83="",O83=""),"",_xlfn.IFS(
ROUND(IFERROR(VALUE(TRIM(SUBSTITUTE(AG83,CHAR(160),""))),0),2)&gt;
ROUND(IFERROR(VALUE(TRIM(SUBSTITUTE(O83,CHAR(160),""))),0),2),
"KO : Le montant retenu est supérieur au montant présenté. Merci de revoir la ligne de contributions ou plafonner son montant.",
ROUND(IFERROR(VALUE(TRIM(SUBSTITUTE(O83,CHAR(160),""))),0),2)=0,
"",
ROUND(IFERROR(VALUE(TRIM(SUBSTITUTE(AG83,CHAR(160),""))),0),2)=
ROUND(IFERROR(VALUE(TRIM(SUBSTITUTE(O83,CHAR(160),""))),0),2),
"OK",
ROUND(IFERROR(VALUE(TRIM(SUBSTITUTE(AG83,CHAR(160),""))),0),2)=0,
"Attention : Montant présenté entièrement rejeté.",
ROUND(IFERROR(VALUE(TRIM(SUBSTITUTE(AG83,CHAR(160),""))),0),2)&lt;
ROUND(IFERROR(VALUE(TRIM(SUBSTITUTE(O83,CHAR(160),""))),0),2),
"Attention : Montant présenté partiellement rejeté.",
TRUE,""
))</f>
        <v/>
      </c>
      <c r="AJ83" s="251" t="str">
        <f t="shared" si="47"/>
        <v/>
      </c>
    </row>
    <row r="84" spans="1:36" ht="15" customHeight="1">
      <c r="A84" s="193">
        <v>80</v>
      </c>
      <c r="B84" s="268"/>
      <c r="C84" s="7"/>
      <c r="D84" s="7"/>
      <c r="E84" s="12"/>
      <c r="F84" s="7"/>
      <c r="G84" s="13"/>
      <c r="H84" s="7"/>
      <c r="I84" s="10"/>
      <c r="J84" s="14"/>
      <c r="K84" s="10"/>
      <c r="L84" s="10"/>
      <c r="M84" s="851" t="str">
        <f t="shared" si="30"/>
        <v/>
      </c>
      <c r="N84" s="15"/>
      <c r="O84" s="280" t="str">
        <f t="shared" si="31"/>
        <v/>
      </c>
      <c r="P84" s="7"/>
      <c r="Q84" s="192"/>
      <c r="R84" s="190" t="str">
        <f t="shared" si="32"/>
        <v/>
      </c>
      <c r="S84" s="154" t="str">
        <f t="shared" si="33"/>
        <v/>
      </c>
      <c r="T84" s="154" t="str">
        <f t="shared" si="34"/>
        <v/>
      </c>
      <c r="U84" s="154" t="str">
        <f t="shared" si="35"/>
        <v/>
      </c>
      <c r="V84" s="154" t="str">
        <f t="shared" si="36"/>
        <v/>
      </c>
      <c r="W84" s="110" t="str">
        <f t="shared" si="37"/>
        <v/>
      </c>
      <c r="X84" s="154" t="str">
        <f t="shared" si="38"/>
        <v/>
      </c>
      <c r="Y84" s="111" t="str">
        <f t="shared" si="39"/>
        <v/>
      </c>
      <c r="Z84" s="154" t="str">
        <f t="shared" si="40"/>
        <v/>
      </c>
      <c r="AA84" s="111" t="str">
        <f t="shared" si="41"/>
        <v/>
      </c>
      <c r="AB84" s="111" t="str">
        <f t="shared" si="42"/>
        <v/>
      </c>
      <c r="AC84" s="851" t="str">
        <f t="shared" si="43"/>
        <v/>
      </c>
      <c r="AD84" s="32" t="str">
        <f t="shared" si="44"/>
        <v/>
      </c>
      <c r="AE84" s="154" t="str">
        <f t="shared" si="45"/>
        <v/>
      </c>
      <c r="AF84" s="7"/>
      <c r="AG84" s="280" t="str">
        <f t="shared" si="46"/>
        <v/>
      </c>
      <c r="AH84" s="603"/>
      <c r="AI84" s="252" t="str" cm="1">
        <f t="array" ref="AI84">IF(OR(AG84="",O84=""),"",_xlfn.IFS(
ROUND(IFERROR(VALUE(TRIM(SUBSTITUTE(AG84,CHAR(160),""))),0),2)&gt;
ROUND(IFERROR(VALUE(TRIM(SUBSTITUTE(O84,CHAR(160),""))),0),2),
"KO : Le montant retenu est supérieur au montant présenté. Merci de revoir la ligne de contributions ou plafonner son montant.",
ROUND(IFERROR(VALUE(TRIM(SUBSTITUTE(O84,CHAR(160),""))),0),2)=0,
"",
ROUND(IFERROR(VALUE(TRIM(SUBSTITUTE(AG84,CHAR(160),""))),0),2)=
ROUND(IFERROR(VALUE(TRIM(SUBSTITUTE(O84,CHAR(160),""))),0),2),
"OK",
ROUND(IFERROR(VALUE(TRIM(SUBSTITUTE(AG84,CHAR(160),""))),0),2)=0,
"Attention : Montant présenté entièrement rejeté.",
ROUND(IFERROR(VALUE(TRIM(SUBSTITUTE(AG84,CHAR(160),""))),0),2)&lt;
ROUND(IFERROR(VALUE(TRIM(SUBSTITUTE(O84,CHAR(160),""))),0),2),
"Attention : Montant présenté partiellement rejeté.",
TRUE,""
))</f>
        <v/>
      </c>
      <c r="AJ84" s="251" t="str">
        <f t="shared" si="47"/>
        <v/>
      </c>
    </row>
    <row r="85" spans="1:36" ht="15" customHeight="1">
      <c r="A85" s="193">
        <v>81</v>
      </c>
      <c r="B85" s="268"/>
      <c r="C85" s="7"/>
      <c r="D85" s="7"/>
      <c r="E85" s="12"/>
      <c r="F85" s="7"/>
      <c r="G85" s="13"/>
      <c r="H85" s="7"/>
      <c r="I85" s="10"/>
      <c r="J85" s="14"/>
      <c r="K85" s="10"/>
      <c r="L85" s="10"/>
      <c r="M85" s="851" t="str">
        <f t="shared" si="30"/>
        <v/>
      </c>
      <c r="N85" s="15"/>
      <c r="O85" s="280" t="str">
        <f t="shared" si="31"/>
        <v/>
      </c>
      <c r="P85" s="7"/>
      <c r="Q85" s="192"/>
      <c r="R85" s="190" t="str">
        <f t="shared" si="32"/>
        <v/>
      </c>
      <c r="S85" s="154" t="str">
        <f t="shared" si="33"/>
        <v/>
      </c>
      <c r="T85" s="154" t="str">
        <f t="shared" si="34"/>
        <v/>
      </c>
      <c r="U85" s="154" t="str">
        <f t="shared" si="35"/>
        <v/>
      </c>
      <c r="V85" s="154" t="str">
        <f t="shared" si="36"/>
        <v/>
      </c>
      <c r="W85" s="110" t="str">
        <f t="shared" si="37"/>
        <v/>
      </c>
      <c r="X85" s="154" t="str">
        <f t="shared" si="38"/>
        <v/>
      </c>
      <c r="Y85" s="111" t="str">
        <f t="shared" si="39"/>
        <v/>
      </c>
      <c r="Z85" s="154" t="str">
        <f t="shared" si="40"/>
        <v/>
      </c>
      <c r="AA85" s="111" t="str">
        <f t="shared" si="41"/>
        <v/>
      </c>
      <c r="AB85" s="111" t="str">
        <f t="shared" si="42"/>
        <v/>
      </c>
      <c r="AC85" s="851" t="str">
        <f t="shared" si="43"/>
        <v/>
      </c>
      <c r="AD85" s="32" t="str">
        <f t="shared" si="44"/>
        <v/>
      </c>
      <c r="AE85" s="154" t="str">
        <f t="shared" si="45"/>
        <v/>
      </c>
      <c r="AF85" s="7"/>
      <c r="AG85" s="280" t="str">
        <f t="shared" si="46"/>
        <v/>
      </c>
      <c r="AH85" s="603"/>
      <c r="AI85" s="252" t="str" cm="1">
        <f t="array" ref="AI85">IF(OR(AG85="",O85=""),"",_xlfn.IFS(
ROUND(IFERROR(VALUE(TRIM(SUBSTITUTE(AG85,CHAR(160),""))),0),2)&gt;
ROUND(IFERROR(VALUE(TRIM(SUBSTITUTE(O85,CHAR(160),""))),0),2),
"KO : Le montant retenu est supérieur au montant présenté. Merci de revoir la ligne de contributions ou plafonner son montant.",
ROUND(IFERROR(VALUE(TRIM(SUBSTITUTE(O85,CHAR(160),""))),0),2)=0,
"",
ROUND(IFERROR(VALUE(TRIM(SUBSTITUTE(AG85,CHAR(160),""))),0),2)=
ROUND(IFERROR(VALUE(TRIM(SUBSTITUTE(O85,CHAR(160),""))),0),2),
"OK",
ROUND(IFERROR(VALUE(TRIM(SUBSTITUTE(AG85,CHAR(160),""))),0),2)=0,
"Attention : Montant présenté entièrement rejeté.",
ROUND(IFERROR(VALUE(TRIM(SUBSTITUTE(AG85,CHAR(160),""))),0),2)&lt;
ROUND(IFERROR(VALUE(TRIM(SUBSTITUTE(O85,CHAR(160),""))),0),2),
"Attention : Montant présenté partiellement rejeté.",
TRUE,""
))</f>
        <v/>
      </c>
      <c r="AJ85" s="251" t="str">
        <f t="shared" si="47"/>
        <v/>
      </c>
    </row>
    <row r="86" spans="1:36" ht="15" customHeight="1">
      <c r="A86" s="193">
        <v>82</v>
      </c>
      <c r="B86" s="268"/>
      <c r="C86" s="7"/>
      <c r="D86" s="7"/>
      <c r="E86" s="12"/>
      <c r="F86" s="7"/>
      <c r="G86" s="13"/>
      <c r="H86" s="7"/>
      <c r="I86" s="10"/>
      <c r="J86" s="14"/>
      <c r="K86" s="10"/>
      <c r="L86" s="10"/>
      <c r="M86" s="851" t="str">
        <f t="shared" si="30"/>
        <v/>
      </c>
      <c r="N86" s="15"/>
      <c r="O86" s="280" t="str">
        <f t="shared" si="31"/>
        <v/>
      </c>
      <c r="P86" s="7"/>
      <c r="Q86" s="192"/>
      <c r="R86" s="190" t="str">
        <f t="shared" si="32"/>
        <v/>
      </c>
      <c r="S86" s="154" t="str">
        <f t="shared" si="33"/>
        <v/>
      </c>
      <c r="T86" s="154" t="str">
        <f t="shared" si="34"/>
        <v/>
      </c>
      <c r="U86" s="154" t="str">
        <f t="shared" si="35"/>
        <v/>
      </c>
      <c r="V86" s="154" t="str">
        <f t="shared" si="36"/>
        <v/>
      </c>
      <c r="W86" s="110" t="str">
        <f t="shared" si="37"/>
        <v/>
      </c>
      <c r="X86" s="154" t="str">
        <f t="shared" si="38"/>
        <v/>
      </c>
      <c r="Y86" s="111" t="str">
        <f t="shared" si="39"/>
        <v/>
      </c>
      <c r="Z86" s="154" t="str">
        <f t="shared" si="40"/>
        <v/>
      </c>
      <c r="AA86" s="111" t="str">
        <f t="shared" si="41"/>
        <v/>
      </c>
      <c r="AB86" s="111" t="str">
        <f t="shared" si="42"/>
        <v/>
      </c>
      <c r="AC86" s="851" t="str">
        <f t="shared" si="43"/>
        <v/>
      </c>
      <c r="AD86" s="32" t="str">
        <f t="shared" si="44"/>
        <v/>
      </c>
      <c r="AE86" s="154" t="str">
        <f t="shared" si="45"/>
        <v/>
      </c>
      <c r="AF86" s="7"/>
      <c r="AG86" s="280" t="str">
        <f t="shared" si="46"/>
        <v/>
      </c>
      <c r="AH86" s="603"/>
      <c r="AI86" s="252" t="str" cm="1">
        <f t="array" ref="AI86">IF(OR(AG86="",O86=""),"",_xlfn.IFS(
ROUND(IFERROR(VALUE(TRIM(SUBSTITUTE(AG86,CHAR(160),""))),0),2)&gt;
ROUND(IFERROR(VALUE(TRIM(SUBSTITUTE(O86,CHAR(160),""))),0),2),
"KO : Le montant retenu est supérieur au montant présenté. Merci de revoir la ligne de contributions ou plafonner son montant.",
ROUND(IFERROR(VALUE(TRIM(SUBSTITUTE(O86,CHAR(160),""))),0),2)=0,
"",
ROUND(IFERROR(VALUE(TRIM(SUBSTITUTE(AG86,CHAR(160),""))),0),2)=
ROUND(IFERROR(VALUE(TRIM(SUBSTITUTE(O86,CHAR(160),""))),0),2),
"OK",
ROUND(IFERROR(VALUE(TRIM(SUBSTITUTE(AG86,CHAR(160),""))),0),2)=0,
"Attention : Montant présenté entièrement rejeté.",
ROUND(IFERROR(VALUE(TRIM(SUBSTITUTE(AG86,CHAR(160),""))),0),2)&lt;
ROUND(IFERROR(VALUE(TRIM(SUBSTITUTE(O86,CHAR(160),""))),0),2),
"Attention : Montant présenté partiellement rejeté.",
TRUE,""
))</f>
        <v/>
      </c>
      <c r="AJ86" s="251" t="str">
        <f t="shared" si="47"/>
        <v/>
      </c>
    </row>
    <row r="87" spans="1:36" ht="15" customHeight="1">
      <c r="A87" s="193">
        <v>83</v>
      </c>
      <c r="B87" s="268"/>
      <c r="C87" s="7"/>
      <c r="D87" s="7"/>
      <c r="E87" s="12"/>
      <c r="F87" s="7"/>
      <c r="G87" s="13"/>
      <c r="H87" s="7"/>
      <c r="I87" s="10"/>
      <c r="J87" s="14"/>
      <c r="K87" s="10"/>
      <c r="L87" s="10"/>
      <c r="M87" s="851" t="str">
        <f t="shared" si="30"/>
        <v/>
      </c>
      <c r="N87" s="15"/>
      <c r="O87" s="280" t="str">
        <f t="shared" si="31"/>
        <v/>
      </c>
      <c r="P87" s="7"/>
      <c r="Q87" s="192"/>
      <c r="R87" s="190" t="str">
        <f t="shared" si="32"/>
        <v/>
      </c>
      <c r="S87" s="154" t="str">
        <f t="shared" si="33"/>
        <v/>
      </c>
      <c r="T87" s="154" t="str">
        <f t="shared" si="34"/>
        <v/>
      </c>
      <c r="U87" s="154" t="str">
        <f t="shared" si="35"/>
        <v/>
      </c>
      <c r="V87" s="154" t="str">
        <f t="shared" si="36"/>
        <v/>
      </c>
      <c r="W87" s="110" t="str">
        <f t="shared" si="37"/>
        <v/>
      </c>
      <c r="X87" s="154" t="str">
        <f t="shared" si="38"/>
        <v/>
      </c>
      <c r="Y87" s="111" t="str">
        <f t="shared" si="39"/>
        <v/>
      </c>
      <c r="Z87" s="154" t="str">
        <f t="shared" si="40"/>
        <v/>
      </c>
      <c r="AA87" s="111" t="str">
        <f t="shared" si="41"/>
        <v/>
      </c>
      <c r="AB87" s="111" t="str">
        <f t="shared" si="42"/>
        <v/>
      </c>
      <c r="AC87" s="851" t="str">
        <f t="shared" si="43"/>
        <v/>
      </c>
      <c r="AD87" s="32" t="str">
        <f t="shared" si="44"/>
        <v/>
      </c>
      <c r="AE87" s="154" t="str">
        <f t="shared" si="45"/>
        <v/>
      </c>
      <c r="AF87" s="7"/>
      <c r="AG87" s="280" t="str">
        <f t="shared" si="46"/>
        <v/>
      </c>
      <c r="AH87" s="603"/>
      <c r="AI87" s="252" t="str" cm="1">
        <f t="array" ref="AI87">IF(OR(AG87="",O87=""),"",_xlfn.IFS(
ROUND(IFERROR(VALUE(TRIM(SUBSTITUTE(AG87,CHAR(160),""))),0),2)&gt;
ROUND(IFERROR(VALUE(TRIM(SUBSTITUTE(O87,CHAR(160),""))),0),2),
"KO : Le montant retenu est supérieur au montant présenté. Merci de revoir la ligne de contributions ou plafonner son montant.",
ROUND(IFERROR(VALUE(TRIM(SUBSTITUTE(O87,CHAR(160),""))),0),2)=0,
"",
ROUND(IFERROR(VALUE(TRIM(SUBSTITUTE(AG87,CHAR(160),""))),0),2)=
ROUND(IFERROR(VALUE(TRIM(SUBSTITUTE(O87,CHAR(160),""))),0),2),
"OK",
ROUND(IFERROR(VALUE(TRIM(SUBSTITUTE(AG87,CHAR(160),""))),0),2)=0,
"Attention : Montant présenté entièrement rejeté.",
ROUND(IFERROR(VALUE(TRIM(SUBSTITUTE(AG87,CHAR(160),""))),0),2)&lt;
ROUND(IFERROR(VALUE(TRIM(SUBSTITUTE(O87,CHAR(160),""))),0),2),
"Attention : Montant présenté partiellement rejeté.",
TRUE,""
))</f>
        <v/>
      </c>
      <c r="AJ87" s="251" t="str">
        <f t="shared" si="47"/>
        <v/>
      </c>
    </row>
    <row r="88" spans="1:36" ht="15" customHeight="1">
      <c r="A88" s="193">
        <v>84</v>
      </c>
      <c r="B88" s="268"/>
      <c r="C88" s="7"/>
      <c r="D88" s="7"/>
      <c r="E88" s="12"/>
      <c r="F88" s="7"/>
      <c r="G88" s="13"/>
      <c r="H88" s="7"/>
      <c r="I88" s="10"/>
      <c r="J88" s="14"/>
      <c r="K88" s="10"/>
      <c r="L88" s="10"/>
      <c r="M88" s="851" t="str">
        <f t="shared" si="30"/>
        <v/>
      </c>
      <c r="N88" s="15"/>
      <c r="O88" s="280" t="str">
        <f t="shared" si="31"/>
        <v/>
      </c>
      <c r="P88" s="7"/>
      <c r="Q88" s="192"/>
      <c r="R88" s="190" t="str">
        <f t="shared" si="32"/>
        <v/>
      </c>
      <c r="S88" s="154" t="str">
        <f t="shared" si="33"/>
        <v/>
      </c>
      <c r="T88" s="154" t="str">
        <f t="shared" si="34"/>
        <v/>
      </c>
      <c r="U88" s="154" t="str">
        <f t="shared" si="35"/>
        <v/>
      </c>
      <c r="V88" s="154" t="str">
        <f t="shared" si="36"/>
        <v/>
      </c>
      <c r="W88" s="110" t="str">
        <f t="shared" si="37"/>
        <v/>
      </c>
      <c r="X88" s="154" t="str">
        <f t="shared" si="38"/>
        <v/>
      </c>
      <c r="Y88" s="111" t="str">
        <f t="shared" si="39"/>
        <v/>
      </c>
      <c r="Z88" s="154" t="str">
        <f t="shared" si="40"/>
        <v/>
      </c>
      <c r="AA88" s="111" t="str">
        <f t="shared" si="41"/>
        <v/>
      </c>
      <c r="AB88" s="111" t="str">
        <f t="shared" si="42"/>
        <v/>
      </c>
      <c r="AC88" s="851" t="str">
        <f t="shared" si="43"/>
        <v/>
      </c>
      <c r="AD88" s="32" t="str">
        <f t="shared" si="44"/>
        <v/>
      </c>
      <c r="AE88" s="154" t="str">
        <f t="shared" si="45"/>
        <v/>
      </c>
      <c r="AF88" s="7"/>
      <c r="AG88" s="280" t="str">
        <f t="shared" si="46"/>
        <v/>
      </c>
      <c r="AH88" s="603"/>
      <c r="AI88" s="252" t="str" cm="1">
        <f t="array" ref="AI88">IF(OR(AG88="",O88=""),"",_xlfn.IFS(
ROUND(IFERROR(VALUE(TRIM(SUBSTITUTE(AG88,CHAR(160),""))),0),2)&gt;
ROUND(IFERROR(VALUE(TRIM(SUBSTITUTE(O88,CHAR(160),""))),0),2),
"KO : Le montant retenu est supérieur au montant présenté. Merci de revoir la ligne de contributions ou plafonner son montant.",
ROUND(IFERROR(VALUE(TRIM(SUBSTITUTE(O88,CHAR(160),""))),0),2)=0,
"",
ROUND(IFERROR(VALUE(TRIM(SUBSTITUTE(AG88,CHAR(160),""))),0),2)=
ROUND(IFERROR(VALUE(TRIM(SUBSTITUTE(O88,CHAR(160),""))),0),2),
"OK",
ROUND(IFERROR(VALUE(TRIM(SUBSTITUTE(AG88,CHAR(160),""))),0),2)=0,
"Attention : Montant présenté entièrement rejeté.",
ROUND(IFERROR(VALUE(TRIM(SUBSTITUTE(AG88,CHAR(160),""))),0),2)&lt;
ROUND(IFERROR(VALUE(TRIM(SUBSTITUTE(O88,CHAR(160),""))),0),2),
"Attention : Montant présenté partiellement rejeté.",
TRUE,""
))</f>
        <v/>
      </c>
      <c r="AJ88" s="251" t="str">
        <f t="shared" si="47"/>
        <v/>
      </c>
    </row>
    <row r="89" spans="1:36" ht="15" customHeight="1">
      <c r="A89" s="193">
        <v>85</v>
      </c>
      <c r="B89" s="268"/>
      <c r="C89" s="7"/>
      <c r="D89" s="7"/>
      <c r="E89" s="12"/>
      <c r="F89" s="7"/>
      <c r="G89" s="13"/>
      <c r="H89" s="7"/>
      <c r="I89" s="10"/>
      <c r="J89" s="14"/>
      <c r="K89" s="10"/>
      <c r="L89" s="10"/>
      <c r="M89" s="851" t="str">
        <f t="shared" si="30"/>
        <v/>
      </c>
      <c r="N89" s="15"/>
      <c r="O89" s="280" t="str">
        <f t="shared" si="31"/>
        <v/>
      </c>
      <c r="P89" s="7"/>
      <c r="Q89" s="192"/>
      <c r="R89" s="190" t="str">
        <f t="shared" si="32"/>
        <v/>
      </c>
      <c r="S89" s="154" t="str">
        <f t="shared" si="33"/>
        <v/>
      </c>
      <c r="T89" s="154" t="str">
        <f t="shared" si="34"/>
        <v/>
      </c>
      <c r="U89" s="154" t="str">
        <f t="shared" si="35"/>
        <v/>
      </c>
      <c r="V89" s="154" t="str">
        <f t="shared" si="36"/>
        <v/>
      </c>
      <c r="W89" s="110" t="str">
        <f t="shared" si="37"/>
        <v/>
      </c>
      <c r="X89" s="154" t="str">
        <f t="shared" si="38"/>
        <v/>
      </c>
      <c r="Y89" s="111" t="str">
        <f t="shared" si="39"/>
        <v/>
      </c>
      <c r="Z89" s="154" t="str">
        <f t="shared" si="40"/>
        <v/>
      </c>
      <c r="AA89" s="111" t="str">
        <f t="shared" si="41"/>
        <v/>
      </c>
      <c r="AB89" s="111" t="str">
        <f t="shared" si="42"/>
        <v/>
      </c>
      <c r="AC89" s="851" t="str">
        <f t="shared" si="43"/>
        <v/>
      </c>
      <c r="AD89" s="32" t="str">
        <f t="shared" si="44"/>
        <v/>
      </c>
      <c r="AE89" s="154" t="str">
        <f t="shared" si="45"/>
        <v/>
      </c>
      <c r="AF89" s="7"/>
      <c r="AG89" s="280" t="str">
        <f t="shared" si="46"/>
        <v/>
      </c>
      <c r="AH89" s="603"/>
      <c r="AI89" s="252" t="str" cm="1">
        <f t="array" ref="AI89">IF(OR(AG89="",O89=""),"",_xlfn.IFS(
ROUND(IFERROR(VALUE(TRIM(SUBSTITUTE(AG89,CHAR(160),""))),0),2)&gt;
ROUND(IFERROR(VALUE(TRIM(SUBSTITUTE(O89,CHAR(160),""))),0),2),
"KO : Le montant retenu est supérieur au montant présenté. Merci de revoir la ligne de contributions ou plafonner son montant.",
ROUND(IFERROR(VALUE(TRIM(SUBSTITUTE(O89,CHAR(160),""))),0),2)=0,
"",
ROUND(IFERROR(VALUE(TRIM(SUBSTITUTE(AG89,CHAR(160),""))),0),2)=
ROUND(IFERROR(VALUE(TRIM(SUBSTITUTE(O89,CHAR(160),""))),0),2),
"OK",
ROUND(IFERROR(VALUE(TRIM(SUBSTITUTE(AG89,CHAR(160),""))),0),2)=0,
"Attention : Montant présenté entièrement rejeté.",
ROUND(IFERROR(VALUE(TRIM(SUBSTITUTE(AG89,CHAR(160),""))),0),2)&lt;
ROUND(IFERROR(VALUE(TRIM(SUBSTITUTE(O89,CHAR(160),""))),0),2),
"Attention : Montant présenté partiellement rejeté.",
TRUE,""
))</f>
        <v/>
      </c>
      <c r="AJ89" s="251" t="str">
        <f t="shared" si="47"/>
        <v/>
      </c>
    </row>
    <row r="90" spans="1:36" ht="15" customHeight="1">
      <c r="A90" s="193">
        <v>86</v>
      </c>
      <c r="B90" s="268"/>
      <c r="C90" s="7"/>
      <c r="D90" s="7"/>
      <c r="E90" s="12"/>
      <c r="F90" s="7"/>
      <c r="G90" s="13"/>
      <c r="H90" s="7"/>
      <c r="I90" s="10"/>
      <c r="J90" s="14"/>
      <c r="K90" s="10"/>
      <c r="L90" s="10"/>
      <c r="M90" s="851" t="str">
        <f t="shared" si="30"/>
        <v/>
      </c>
      <c r="N90" s="15"/>
      <c r="O90" s="280" t="str">
        <f t="shared" si="31"/>
        <v/>
      </c>
      <c r="P90" s="7"/>
      <c r="Q90" s="192"/>
      <c r="R90" s="190" t="str">
        <f t="shared" si="32"/>
        <v/>
      </c>
      <c r="S90" s="154" t="str">
        <f t="shared" si="33"/>
        <v/>
      </c>
      <c r="T90" s="154" t="str">
        <f t="shared" si="34"/>
        <v/>
      </c>
      <c r="U90" s="154" t="str">
        <f t="shared" si="35"/>
        <v/>
      </c>
      <c r="V90" s="154" t="str">
        <f t="shared" si="36"/>
        <v/>
      </c>
      <c r="W90" s="110" t="str">
        <f t="shared" si="37"/>
        <v/>
      </c>
      <c r="X90" s="154" t="str">
        <f t="shared" si="38"/>
        <v/>
      </c>
      <c r="Y90" s="111" t="str">
        <f t="shared" si="39"/>
        <v/>
      </c>
      <c r="Z90" s="154" t="str">
        <f t="shared" si="40"/>
        <v/>
      </c>
      <c r="AA90" s="111" t="str">
        <f t="shared" si="41"/>
        <v/>
      </c>
      <c r="AB90" s="111" t="str">
        <f t="shared" si="42"/>
        <v/>
      </c>
      <c r="AC90" s="851" t="str">
        <f t="shared" si="43"/>
        <v/>
      </c>
      <c r="AD90" s="32" t="str">
        <f t="shared" si="44"/>
        <v/>
      </c>
      <c r="AE90" s="154" t="str">
        <f t="shared" si="45"/>
        <v/>
      </c>
      <c r="AF90" s="7"/>
      <c r="AG90" s="280" t="str">
        <f t="shared" si="46"/>
        <v/>
      </c>
      <c r="AH90" s="603"/>
      <c r="AI90" s="252" t="str" cm="1">
        <f t="array" ref="AI90">IF(OR(AG90="",O90=""),"",_xlfn.IFS(
ROUND(IFERROR(VALUE(TRIM(SUBSTITUTE(AG90,CHAR(160),""))),0),2)&gt;
ROUND(IFERROR(VALUE(TRIM(SUBSTITUTE(O90,CHAR(160),""))),0),2),
"KO : Le montant retenu est supérieur au montant présenté. Merci de revoir la ligne de contributions ou plafonner son montant.",
ROUND(IFERROR(VALUE(TRIM(SUBSTITUTE(O90,CHAR(160),""))),0),2)=0,
"",
ROUND(IFERROR(VALUE(TRIM(SUBSTITUTE(AG90,CHAR(160),""))),0),2)=
ROUND(IFERROR(VALUE(TRIM(SUBSTITUTE(O90,CHAR(160),""))),0),2),
"OK",
ROUND(IFERROR(VALUE(TRIM(SUBSTITUTE(AG90,CHAR(160),""))),0),2)=0,
"Attention : Montant présenté entièrement rejeté.",
ROUND(IFERROR(VALUE(TRIM(SUBSTITUTE(AG90,CHAR(160),""))),0),2)&lt;
ROUND(IFERROR(VALUE(TRIM(SUBSTITUTE(O90,CHAR(160),""))),0),2),
"Attention : Montant présenté partiellement rejeté.",
TRUE,""
))</f>
        <v/>
      </c>
      <c r="AJ90" s="251" t="str">
        <f t="shared" si="47"/>
        <v/>
      </c>
    </row>
    <row r="91" spans="1:36" ht="15" customHeight="1">
      <c r="A91" s="193">
        <v>87</v>
      </c>
      <c r="B91" s="268"/>
      <c r="C91" s="7"/>
      <c r="D91" s="7"/>
      <c r="E91" s="12"/>
      <c r="F91" s="7"/>
      <c r="G91" s="13"/>
      <c r="H91" s="7"/>
      <c r="I91" s="10"/>
      <c r="J91" s="14"/>
      <c r="K91" s="10"/>
      <c r="L91" s="10"/>
      <c r="M91" s="851" t="str">
        <f t="shared" si="30"/>
        <v/>
      </c>
      <c r="N91" s="15"/>
      <c r="O91" s="280" t="str">
        <f t="shared" si="31"/>
        <v/>
      </c>
      <c r="P91" s="7"/>
      <c r="Q91" s="192"/>
      <c r="R91" s="190" t="str">
        <f t="shared" si="32"/>
        <v/>
      </c>
      <c r="S91" s="154" t="str">
        <f t="shared" si="33"/>
        <v/>
      </c>
      <c r="T91" s="154" t="str">
        <f t="shared" si="34"/>
        <v/>
      </c>
      <c r="U91" s="154" t="str">
        <f t="shared" si="35"/>
        <v/>
      </c>
      <c r="V91" s="154" t="str">
        <f t="shared" si="36"/>
        <v/>
      </c>
      <c r="W91" s="110" t="str">
        <f t="shared" si="37"/>
        <v/>
      </c>
      <c r="X91" s="154" t="str">
        <f t="shared" si="38"/>
        <v/>
      </c>
      <c r="Y91" s="111" t="str">
        <f t="shared" si="39"/>
        <v/>
      </c>
      <c r="Z91" s="154" t="str">
        <f t="shared" si="40"/>
        <v/>
      </c>
      <c r="AA91" s="111" t="str">
        <f t="shared" si="41"/>
        <v/>
      </c>
      <c r="AB91" s="111" t="str">
        <f t="shared" si="42"/>
        <v/>
      </c>
      <c r="AC91" s="851" t="str">
        <f t="shared" si="43"/>
        <v/>
      </c>
      <c r="AD91" s="32" t="str">
        <f t="shared" si="44"/>
        <v/>
      </c>
      <c r="AE91" s="154" t="str">
        <f t="shared" si="45"/>
        <v/>
      </c>
      <c r="AF91" s="7"/>
      <c r="AG91" s="280" t="str">
        <f t="shared" si="46"/>
        <v/>
      </c>
      <c r="AH91" s="603"/>
      <c r="AI91" s="252" t="str" cm="1">
        <f t="array" ref="AI91">IF(OR(AG91="",O91=""),"",_xlfn.IFS(
ROUND(IFERROR(VALUE(TRIM(SUBSTITUTE(AG91,CHAR(160),""))),0),2)&gt;
ROUND(IFERROR(VALUE(TRIM(SUBSTITUTE(O91,CHAR(160),""))),0),2),
"KO : Le montant retenu est supérieur au montant présenté. Merci de revoir la ligne de contributions ou plafonner son montant.",
ROUND(IFERROR(VALUE(TRIM(SUBSTITUTE(O91,CHAR(160),""))),0),2)=0,
"",
ROUND(IFERROR(VALUE(TRIM(SUBSTITUTE(AG91,CHAR(160),""))),0),2)=
ROUND(IFERROR(VALUE(TRIM(SUBSTITUTE(O91,CHAR(160),""))),0),2),
"OK",
ROUND(IFERROR(VALUE(TRIM(SUBSTITUTE(AG91,CHAR(160),""))),0),2)=0,
"Attention : Montant présenté entièrement rejeté.",
ROUND(IFERROR(VALUE(TRIM(SUBSTITUTE(AG91,CHAR(160),""))),0),2)&lt;
ROUND(IFERROR(VALUE(TRIM(SUBSTITUTE(O91,CHAR(160),""))),0),2),
"Attention : Montant présenté partiellement rejeté.",
TRUE,""
))</f>
        <v/>
      </c>
      <c r="AJ91" s="251" t="str">
        <f t="shared" si="47"/>
        <v/>
      </c>
    </row>
    <row r="92" spans="1:36" ht="15" customHeight="1">
      <c r="A92" s="193">
        <v>88</v>
      </c>
      <c r="B92" s="268"/>
      <c r="C92" s="7"/>
      <c r="D92" s="7"/>
      <c r="E92" s="12"/>
      <c r="F92" s="7"/>
      <c r="G92" s="13"/>
      <c r="H92" s="7"/>
      <c r="I92" s="10"/>
      <c r="J92" s="14"/>
      <c r="K92" s="10"/>
      <c r="L92" s="10"/>
      <c r="M92" s="851" t="str">
        <f t="shared" si="30"/>
        <v/>
      </c>
      <c r="N92" s="15"/>
      <c r="O92" s="280" t="str">
        <f t="shared" si="31"/>
        <v/>
      </c>
      <c r="P92" s="7"/>
      <c r="Q92" s="192"/>
      <c r="R92" s="190" t="str">
        <f t="shared" si="32"/>
        <v/>
      </c>
      <c r="S92" s="154" t="str">
        <f t="shared" si="33"/>
        <v/>
      </c>
      <c r="T92" s="154" t="str">
        <f t="shared" si="34"/>
        <v/>
      </c>
      <c r="U92" s="154" t="str">
        <f t="shared" si="35"/>
        <v/>
      </c>
      <c r="V92" s="154" t="str">
        <f t="shared" si="36"/>
        <v/>
      </c>
      <c r="W92" s="110" t="str">
        <f t="shared" si="37"/>
        <v/>
      </c>
      <c r="X92" s="154" t="str">
        <f t="shared" si="38"/>
        <v/>
      </c>
      <c r="Y92" s="111" t="str">
        <f t="shared" si="39"/>
        <v/>
      </c>
      <c r="Z92" s="154" t="str">
        <f t="shared" si="40"/>
        <v/>
      </c>
      <c r="AA92" s="111" t="str">
        <f t="shared" si="41"/>
        <v/>
      </c>
      <c r="AB92" s="111" t="str">
        <f t="shared" si="42"/>
        <v/>
      </c>
      <c r="AC92" s="851" t="str">
        <f t="shared" si="43"/>
        <v/>
      </c>
      <c r="AD92" s="32" t="str">
        <f t="shared" si="44"/>
        <v/>
      </c>
      <c r="AE92" s="154" t="str">
        <f t="shared" si="45"/>
        <v/>
      </c>
      <c r="AF92" s="7"/>
      <c r="AG92" s="280" t="str">
        <f t="shared" si="46"/>
        <v/>
      </c>
      <c r="AH92" s="603"/>
      <c r="AI92" s="252" t="str" cm="1">
        <f t="array" ref="AI92">IF(OR(AG92="",O92=""),"",_xlfn.IFS(
ROUND(IFERROR(VALUE(TRIM(SUBSTITUTE(AG92,CHAR(160),""))),0),2)&gt;
ROUND(IFERROR(VALUE(TRIM(SUBSTITUTE(O92,CHAR(160),""))),0),2),
"KO : Le montant retenu est supérieur au montant présenté. Merci de revoir la ligne de contributions ou plafonner son montant.",
ROUND(IFERROR(VALUE(TRIM(SUBSTITUTE(O92,CHAR(160),""))),0),2)=0,
"",
ROUND(IFERROR(VALUE(TRIM(SUBSTITUTE(AG92,CHAR(160),""))),0),2)=
ROUND(IFERROR(VALUE(TRIM(SUBSTITUTE(O92,CHAR(160),""))),0),2),
"OK",
ROUND(IFERROR(VALUE(TRIM(SUBSTITUTE(AG92,CHAR(160),""))),0),2)=0,
"Attention : Montant présenté entièrement rejeté.",
ROUND(IFERROR(VALUE(TRIM(SUBSTITUTE(AG92,CHAR(160),""))),0),2)&lt;
ROUND(IFERROR(VALUE(TRIM(SUBSTITUTE(O92,CHAR(160),""))),0),2),
"Attention : Montant présenté partiellement rejeté.",
TRUE,""
))</f>
        <v/>
      </c>
      <c r="AJ92" s="251" t="str">
        <f t="shared" si="47"/>
        <v/>
      </c>
    </row>
    <row r="93" spans="1:36" ht="15" customHeight="1">
      <c r="A93" s="193">
        <v>89</v>
      </c>
      <c r="B93" s="268"/>
      <c r="C93" s="7"/>
      <c r="D93" s="7"/>
      <c r="E93" s="12"/>
      <c r="F93" s="7"/>
      <c r="G93" s="13"/>
      <c r="H93" s="7"/>
      <c r="I93" s="10"/>
      <c r="J93" s="14"/>
      <c r="K93" s="10"/>
      <c r="L93" s="10"/>
      <c r="M93" s="851" t="str">
        <f t="shared" si="30"/>
        <v/>
      </c>
      <c r="N93" s="15"/>
      <c r="O93" s="280" t="str">
        <f t="shared" si="31"/>
        <v/>
      </c>
      <c r="P93" s="7"/>
      <c r="Q93" s="192"/>
      <c r="R93" s="190" t="str">
        <f t="shared" si="32"/>
        <v/>
      </c>
      <c r="S93" s="154" t="str">
        <f t="shared" si="33"/>
        <v/>
      </c>
      <c r="T93" s="154" t="str">
        <f t="shared" si="34"/>
        <v/>
      </c>
      <c r="U93" s="154" t="str">
        <f t="shared" si="35"/>
        <v/>
      </c>
      <c r="V93" s="154" t="str">
        <f t="shared" si="36"/>
        <v/>
      </c>
      <c r="W93" s="110" t="str">
        <f t="shared" si="37"/>
        <v/>
      </c>
      <c r="X93" s="154" t="str">
        <f t="shared" si="38"/>
        <v/>
      </c>
      <c r="Y93" s="111" t="str">
        <f t="shared" si="39"/>
        <v/>
      </c>
      <c r="Z93" s="154" t="str">
        <f t="shared" si="40"/>
        <v/>
      </c>
      <c r="AA93" s="111" t="str">
        <f t="shared" si="41"/>
        <v/>
      </c>
      <c r="AB93" s="111" t="str">
        <f t="shared" si="42"/>
        <v/>
      </c>
      <c r="AC93" s="851" t="str">
        <f t="shared" si="43"/>
        <v/>
      </c>
      <c r="AD93" s="32" t="str">
        <f t="shared" si="44"/>
        <v/>
      </c>
      <c r="AE93" s="154" t="str">
        <f t="shared" si="45"/>
        <v/>
      </c>
      <c r="AF93" s="7"/>
      <c r="AG93" s="280" t="str">
        <f t="shared" si="46"/>
        <v/>
      </c>
      <c r="AH93" s="603"/>
      <c r="AI93" s="252" t="str" cm="1">
        <f t="array" ref="AI93">IF(OR(AG93="",O93=""),"",_xlfn.IFS(
ROUND(IFERROR(VALUE(TRIM(SUBSTITUTE(AG93,CHAR(160),""))),0),2)&gt;
ROUND(IFERROR(VALUE(TRIM(SUBSTITUTE(O93,CHAR(160),""))),0),2),
"KO : Le montant retenu est supérieur au montant présenté. Merci de revoir la ligne de contributions ou plafonner son montant.",
ROUND(IFERROR(VALUE(TRIM(SUBSTITUTE(O93,CHAR(160),""))),0),2)=0,
"",
ROUND(IFERROR(VALUE(TRIM(SUBSTITUTE(AG93,CHAR(160),""))),0),2)=
ROUND(IFERROR(VALUE(TRIM(SUBSTITUTE(O93,CHAR(160),""))),0),2),
"OK",
ROUND(IFERROR(VALUE(TRIM(SUBSTITUTE(AG93,CHAR(160),""))),0),2)=0,
"Attention : Montant présenté entièrement rejeté.",
ROUND(IFERROR(VALUE(TRIM(SUBSTITUTE(AG93,CHAR(160),""))),0),2)&lt;
ROUND(IFERROR(VALUE(TRIM(SUBSTITUTE(O93,CHAR(160),""))),0),2),
"Attention : Montant présenté partiellement rejeté.",
TRUE,""
))</f>
        <v/>
      </c>
      <c r="AJ93" s="251" t="str">
        <f t="shared" si="47"/>
        <v/>
      </c>
    </row>
    <row r="94" spans="1:36" ht="15" customHeight="1">
      <c r="A94" s="193">
        <v>90</v>
      </c>
      <c r="B94" s="268"/>
      <c r="C94" s="7"/>
      <c r="D94" s="7"/>
      <c r="E94" s="12"/>
      <c r="F94" s="7"/>
      <c r="G94" s="13"/>
      <c r="H94" s="7"/>
      <c r="I94" s="10"/>
      <c r="J94" s="14"/>
      <c r="K94" s="10"/>
      <c r="L94" s="10"/>
      <c r="M94" s="851" t="str">
        <f t="shared" si="30"/>
        <v/>
      </c>
      <c r="N94" s="15"/>
      <c r="O94" s="280" t="str">
        <f t="shared" si="31"/>
        <v/>
      </c>
      <c r="P94" s="7"/>
      <c r="Q94" s="192"/>
      <c r="R94" s="190" t="str">
        <f t="shared" si="32"/>
        <v/>
      </c>
      <c r="S94" s="154" t="str">
        <f t="shared" si="33"/>
        <v/>
      </c>
      <c r="T94" s="154" t="str">
        <f t="shared" si="34"/>
        <v/>
      </c>
      <c r="U94" s="154" t="str">
        <f t="shared" si="35"/>
        <v/>
      </c>
      <c r="V94" s="154" t="str">
        <f t="shared" si="36"/>
        <v/>
      </c>
      <c r="W94" s="110" t="str">
        <f t="shared" si="37"/>
        <v/>
      </c>
      <c r="X94" s="154" t="str">
        <f t="shared" si="38"/>
        <v/>
      </c>
      <c r="Y94" s="111" t="str">
        <f t="shared" si="39"/>
        <v/>
      </c>
      <c r="Z94" s="154" t="str">
        <f t="shared" si="40"/>
        <v/>
      </c>
      <c r="AA94" s="111" t="str">
        <f t="shared" si="41"/>
        <v/>
      </c>
      <c r="AB94" s="111" t="str">
        <f t="shared" si="42"/>
        <v/>
      </c>
      <c r="AC94" s="851" t="str">
        <f t="shared" si="43"/>
        <v/>
      </c>
      <c r="AD94" s="32" t="str">
        <f t="shared" si="44"/>
        <v/>
      </c>
      <c r="AE94" s="154" t="str">
        <f t="shared" si="45"/>
        <v/>
      </c>
      <c r="AF94" s="7"/>
      <c r="AG94" s="280" t="str">
        <f t="shared" si="46"/>
        <v/>
      </c>
      <c r="AH94" s="603"/>
      <c r="AI94" s="252" t="str" cm="1">
        <f t="array" ref="AI94">IF(OR(AG94="",O94=""),"",_xlfn.IFS(
ROUND(IFERROR(VALUE(TRIM(SUBSTITUTE(AG94,CHAR(160),""))),0),2)&gt;
ROUND(IFERROR(VALUE(TRIM(SUBSTITUTE(O94,CHAR(160),""))),0),2),
"KO : Le montant retenu est supérieur au montant présenté. Merci de revoir la ligne de contributions ou plafonner son montant.",
ROUND(IFERROR(VALUE(TRIM(SUBSTITUTE(O94,CHAR(160),""))),0),2)=0,
"",
ROUND(IFERROR(VALUE(TRIM(SUBSTITUTE(AG94,CHAR(160),""))),0),2)=
ROUND(IFERROR(VALUE(TRIM(SUBSTITUTE(O94,CHAR(160),""))),0),2),
"OK",
ROUND(IFERROR(VALUE(TRIM(SUBSTITUTE(AG94,CHAR(160),""))),0),2)=0,
"Attention : Montant présenté entièrement rejeté.",
ROUND(IFERROR(VALUE(TRIM(SUBSTITUTE(AG94,CHAR(160),""))),0),2)&lt;
ROUND(IFERROR(VALUE(TRIM(SUBSTITUTE(O94,CHAR(160),""))),0),2),
"Attention : Montant présenté partiellement rejeté.",
TRUE,""
))</f>
        <v/>
      </c>
      <c r="AJ94" s="251" t="str">
        <f t="shared" si="47"/>
        <v/>
      </c>
    </row>
    <row r="95" spans="1:36" ht="15" customHeight="1">
      <c r="A95" s="193">
        <v>91</v>
      </c>
      <c r="B95" s="268"/>
      <c r="C95" s="7"/>
      <c r="D95" s="7"/>
      <c r="E95" s="12"/>
      <c r="F95" s="7"/>
      <c r="G95" s="13"/>
      <c r="H95" s="7"/>
      <c r="I95" s="10"/>
      <c r="J95" s="14"/>
      <c r="K95" s="10"/>
      <c r="L95" s="10"/>
      <c r="M95" s="851" t="str">
        <f t="shared" si="30"/>
        <v/>
      </c>
      <c r="N95" s="15"/>
      <c r="O95" s="280" t="str">
        <f t="shared" si="31"/>
        <v/>
      </c>
      <c r="P95" s="7"/>
      <c r="Q95" s="192"/>
      <c r="R95" s="190" t="str">
        <f t="shared" si="32"/>
        <v/>
      </c>
      <c r="S95" s="154" t="str">
        <f t="shared" si="33"/>
        <v/>
      </c>
      <c r="T95" s="154" t="str">
        <f t="shared" si="34"/>
        <v/>
      </c>
      <c r="U95" s="154" t="str">
        <f t="shared" si="35"/>
        <v/>
      </c>
      <c r="V95" s="154" t="str">
        <f t="shared" si="36"/>
        <v/>
      </c>
      <c r="W95" s="110" t="str">
        <f t="shared" si="37"/>
        <v/>
      </c>
      <c r="X95" s="154" t="str">
        <f t="shared" si="38"/>
        <v/>
      </c>
      <c r="Y95" s="111" t="str">
        <f t="shared" si="39"/>
        <v/>
      </c>
      <c r="Z95" s="154" t="str">
        <f t="shared" si="40"/>
        <v/>
      </c>
      <c r="AA95" s="111" t="str">
        <f t="shared" si="41"/>
        <v/>
      </c>
      <c r="AB95" s="111" t="str">
        <f t="shared" si="42"/>
        <v/>
      </c>
      <c r="AC95" s="851" t="str">
        <f t="shared" si="43"/>
        <v/>
      </c>
      <c r="AD95" s="32" t="str">
        <f t="shared" si="44"/>
        <v/>
      </c>
      <c r="AE95" s="154" t="str">
        <f t="shared" si="45"/>
        <v/>
      </c>
      <c r="AF95" s="7"/>
      <c r="AG95" s="280" t="str">
        <f t="shared" si="46"/>
        <v/>
      </c>
      <c r="AH95" s="603"/>
      <c r="AI95" s="252" t="str" cm="1">
        <f t="array" ref="AI95">IF(OR(AG95="",O95=""),"",_xlfn.IFS(
ROUND(IFERROR(VALUE(TRIM(SUBSTITUTE(AG95,CHAR(160),""))),0),2)&gt;
ROUND(IFERROR(VALUE(TRIM(SUBSTITUTE(O95,CHAR(160),""))),0),2),
"KO : Le montant retenu est supérieur au montant présenté. Merci de revoir la ligne de contributions ou plafonner son montant.",
ROUND(IFERROR(VALUE(TRIM(SUBSTITUTE(O95,CHAR(160),""))),0),2)=0,
"",
ROUND(IFERROR(VALUE(TRIM(SUBSTITUTE(AG95,CHAR(160),""))),0),2)=
ROUND(IFERROR(VALUE(TRIM(SUBSTITUTE(O95,CHAR(160),""))),0),2),
"OK",
ROUND(IFERROR(VALUE(TRIM(SUBSTITUTE(AG95,CHAR(160),""))),0),2)=0,
"Attention : Montant présenté entièrement rejeté.",
ROUND(IFERROR(VALUE(TRIM(SUBSTITUTE(AG95,CHAR(160),""))),0),2)&lt;
ROUND(IFERROR(VALUE(TRIM(SUBSTITUTE(O95,CHAR(160),""))),0),2),
"Attention : Montant présenté partiellement rejeté.",
TRUE,""
))</f>
        <v/>
      </c>
      <c r="AJ95" s="251" t="str">
        <f t="shared" si="47"/>
        <v/>
      </c>
    </row>
    <row r="96" spans="1:36" ht="15" customHeight="1">
      <c r="A96" s="193">
        <v>92</v>
      </c>
      <c r="B96" s="268"/>
      <c r="C96" s="7"/>
      <c r="D96" s="7"/>
      <c r="E96" s="12"/>
      <c r="F96" s="7"/>
      <c r="G96" s="13"/>
      <c r="H96" s="7"/>
      <c r="I96" s="10"/>
      <c r="J96" s="14"/>
      <c r="K96" s="10"/>
      <c r="L96" s="10"/>
      <c r="M96" s="851" t="str">
        <f t="shared" si="30"/>
        <v/>
      </c>
      <c r="N96" s="15"/>
      <c r="O96" s="280" t="str">
        <f t="shared" si="31"/>
        <v/>
      </c>
      <c r="P96" s="7"/>
      <c r="Q96" s="192"/>
      <c r="R96" s="190" t="str">
        <f t="shared" si="32"/>
        <v/>
      </c>
      <c r="S96" s="154" t="str">
        <f t="shared" si="33"/>
        <v/>
      </c>
      <c r="T96" s="154" t="str">
        <f t="shared" si="34"/>
        <v/>
      </c>
      <c r="U96" s="154" t="str">
        <f t="shared" si="35"/>
        <v/>
      </c>
      <c r="V96" s="154" t="str">
        <f t="shared" si="36"/>
        <v/>
      </c>
      <c r="W96" s="110" t="str">
        <f t="shared" si="37"/>
        <v/>
      </c>
      <c r="X96" s="154" t="str">
        <f t="shared" si="38"/>
        <v/>
      </c>
      <c r="Y96" s="111" t="str">
        <f t="shared" si="39"/>
        <v/>
      </c>
      <c r="Z96" s="154" t="str">
        <f t="shared" si="40"/>
        <v/>
      </c>
      <c r="AA96" s="111" t="str">
        <f t="shared" si="41"/>
        <v/>
      </c>
      <c r="AB96" s="111" t="str">
        <f t="shared" si="42"/>
        <v/>
      </c>
      <c r="AC96" s="851" t="str">
        <f t="shared" si="43"/>
        <v/>
      </c>
      <c r="AD96" s="32" t="str">
        <f t="shared" si="44"/>
        <v/>
      </c>
      <c r="AE96" s="154" t="str">
        <f t="shared" si="45"/>
        <v/>
      </c>
      <c r="AF96" s="7"/>
      <c r="AG96" s="280" t="str">
        <f t="shared" si="46"/>
        <v/>
      </c>
      <c r="AH96" s="603"/>
      <c r="AI96" s="252" t="str" cm="1">
        <f t="array" ref="AI96">IF(OR(AG96="",O96=""),"",_xlfn.IFS(
ROUND(IFERROR(VALUE(TRIM(SUBSTITUTE(AG96,CHAR(160),""))),0),2)&gt;
ROUND(IFERROR(VALUE(TRIM(SUBSTITUTE(O96,CHAR(160),""))),0),2),
"KO : Le montant retenu est supérieur au montant présenté. Merci de revoir la ligne de contributions ou plafonner son montant.",
ROUND(IFERROR(VALUE(TRIM(SUBSTITUTE(O96,CHAR(160),""))),0),2)=0,
"",
ROUND(IFERROR(VALUE(TRIM(SUBSTITUTE(AG96,CHAR(160),""))),0),2)=
ROUND(IFERROR(VALUE(TRIM(SUBSTITUTE(O96,CHAR(160),""))),0),2),
"OK",
ROUND(IFERROR(VALUE(TRIM(SUBSTITUTE(AG96,CHAR(160),""))),0),2)=0,
"Attention : Montant présenté entièrement rejeté.",
ROUND(IFERROR(VALUE(TRIM(SUBSTITUTE(AG96,CHAR(160),""))),0),2)&lt;
ROUND(IFERROR(VALUE(TRIM(SUBSTITUTE(O96,CHAR(160),""))),0),2),
"Attention : Montant présenté partiellement rejeté.",
TRUE,""
))</f>
        <v/>
      </c>
      <c r="AJ96" s="251" t="str">
        <f t="shared" si="47"/>
        <v/>
      </c>
    </row>
    <row r="97" spans="1:36" ht="15" customHeight="1">
      <c r="A97" s="193">
        <v>93</v>
      </c>
      <c r="B97" s="268"/>
      <c r="C97" s="7"/>
      <c r="D97" s="7"/>
      <c r="E97" s="12"/>
      <c r="F97" s="7"/>
      <c r="G97" s="13"/>
      <c r="H97" s="7"/>
      <c r="I97" s="10"/>
      <c r="J97" s="14"/>
      <c r="K97" s="10"/>
      <c r="L97" s="10"/>
      <c r="M97" s="851" t="str">
        <f t="shared" si="30"/>
        <v/>
      </c>
      <c r="N97" s="15"/>
      <c r="O97" s="280" t="str">
        <f t="shared" si="31"/>
        <v/>
      </c>
      <c r="P97" s="7"/>
      <c r="Q97" s="192"/>
      <c r="R97" s="190" t="str">
        <f t="shared" si="32"/>
        <v/>
      </c>
      <c r="S97" s="154" t="str">
        <f t="shared" si="33"/>
        <v/>
      </c>
      <c r="T97" s="154" t="str">
        <f t="shared" si="34"/>
        <v/>
      </c>
      <c r="U97" s="154" t="str">
        <f t="shared" si="35"/>
        <v/>
      </c>
      <c r="V97" s="154" t="str">
        <f t="shared" si="36"/>
        <v/>
      </c>
      <c r="W97" s="110" t="str">
        <f t="shared" si="37"/>
        <v/>
      </c>
      <c r="X97" s="154" t="str">
        <f t="shared" si="38"/>
        <v/>
      </c>
      <c r="Y97" s="111" t="str">
        <f t="shared" si="39"/>
        <v/>
      </c>
      <c r="Z97" s="154" t="str">
        <f t="shared" si="40"/>
        <v/>
      </c>
      <c r="AA97" s="111" t="str">
        <f t="shared" si="41"/>
        <v/>
      </c>
      <c r="AB97" s="111" t="str">
        <f t="shared" si="42"/>
        <v/>
      </c>
      <c r="AC97" s="851" t="str">
        <f t="shared" si="43"/>
        <v/>
      </c>
      <c r="AD97" s="32" t="str">
        <f t="shared" si="44"/>
        <v/>
      </c>
      <c r="AE97" s="154" t="str">
        <f t="shared" si="45"/>
        <v/>
      </c>
      <c r="AF97" s="7"/>
      <c r="AG97" s="280" t="str">
        <f t="shared" si="46"/>
        <v/>
      </c>
      <c r="AH97" s="603"/>
      <c r="AI97" s="252" t="str" cm="1">
        <f t="array" ref="AI97">IF(OR(AG97="",O97=""),"",_xlfn.IFS(
ROUND(IFERROR(VALUE(TRIM(SUBSTITUTE(AG97,CHAR(160),""))),0),2)&gt;
ROUND(IFERROR(VALUE(TRIM(SUBSTITUTE(O97,CHAR(160),""))),0),2),
"KO : Le montant retenu est supérieur au montant présenté. Merci de revoir la ligne de contributions ou plafonner son montant.",
ROUND(IFERROR(VALUE(TRIM(SUBSTITUTE(O97,CHAR(160),""))),0),2)=0,
"",
ROUND(IFERROR(VALUE(TRIM(SUBSTITUTE(AG97,CHAR(160),""))),0),2)=
ROUND(IFERROR(VALUE(TRIM(SUBSTITUTE(O97,CHAR(160),""))),0),2),
"OK",
ROUND(IFERROR(VALUE(TRIM(SUBSTITUTE(AG97,CHAR(160),""))),0),2)=0,
"Attention : Montant présenté entièrement rejeté.",
ROUND(IFERROR(VALUE(TRIM(SUBSTITUTE(AG97,CHAR(160),""))),0),2)&lt;
ROUND(IFERROR(VALUE(TRIM(SUBSTITUTE(O97,CHAR(160),""))),0),2),
"Attention : Montant présenté partiellement rejeté.",
TRUE,""
))</f>
        <v/>
      </c>
      <c r="AJ97" s="251" t="str">
        <f t="shared" si="47"/>
        <v/>
      </c>
    </row>
    <row r="98" spans="1:36" ht="15" customHeight="1">
      <c r="A98" s="193">
        <v>94</v>
      </c>
      <c r="B98" s="268"/>
      <c r="C98" s="7"/>
      <c r="D98" s="7"/>
      <c r="E98" s="12"/>
      <c r="F98" s="7"/>
      <c r="G98" s="13"/>
      <c r="H98" s="7"/>
      <c r="I98" s="10"/>
      <c r="J98" s="14"/>
      <c r="K98" s="10"/>
      <c r="L98" s="10"/>
      <c r="M98" s="851" t="str">
        <f t="shared" si="30"/>
        <v/>
      </c>
      <c r="N98" s="15"/>
      <c r="O98" s="280" t="str">
        <f t="shared" si="31"/>
        <v/>
      </c>
      <c r="P98" s="7"/>
      <c r="Q98" s="192"/>
      <c r="R98" s="190" t="str">
        <f t="shared" si="32"/>
        <v/>
      </c>
      <c r="S98" s="154" t="str">
        <f t="shared" si="33"/>
        <v/>
      </c>
      <c r="T98" s="154" t="str">
        <f t="shared" si="34"/>
        <v/>
      </c>
      <c r="U98" s="154" t="str">
        <f t="shared" si="35"/>
        <v/>
      </c>
      <c r="V98" s="154" t="str">
        <f t="shared" si="36"/>
        <v/>
      </c>
      <c r="W98" s="110" t="str">
        <f t="shared" si="37"/>
        <v/>
      </c>
      <c r="X98" s="154" t="str">
        <f t="shared" si="38"/>
        <v/>
      </c>
      <c r="Y98" s="111" t="str">
        <f t="shared" si="39"/>
        <v/>
      </c>
      <c r="Z98" s="154" t="str">
        <f t="shared" si="40"/>
        <v/>
      </c>
      <c r="AA98" s="111" t="str">
        <f t="shared" si="41"/>
        <v/>
      </c>
      <c r="AB98" s="111" t="str">
        <f t="shared" si="42"/>
        <v/>
      </c>
      <c r="AC98" s="851" t="str">
        <f t="shared" si="43"/>
        <v/>
      </c>
      <c r="AD98" s="32" t="str">
        <f t="shared" si="44"/>
        <v/>
      </c>
      <c r="AE98" s="154" t="str">
        <f t="shared" si="45"/>
        <v/>
      </c>
      <c r="AF98" s="7"/>
      <c r="AG98" s="280" t="str">
        <f t="shared" si="46"/>
        <v/>
      </c>
      <c r="AH98" s="603"/>
      <c r="AI98" s="252" t="str" cm="1">
        <f t="array" ref="AI98">IF(OR(AG98="",O98=""),"",_xlfn.IFS(
ROUND(IFERROR(VALUE(TRIM(SUBSTITUTE(AG98,CHAR(160),""))),0),2)&gt;
ROUND(IFERROR(VALUE(TRIM(SUBSTITUTE(O98,CHAR(160),""))),0),2),
"KO : Le montant retenu est supérieur au montant présenté. Merci de revoir la ligne de contributions ou plafonner son montant.",
ROUND(IFERROR(VALUE(TRIM(SUBSTITUTE(O98,CHAR(160),""))),0),2)=0,
"",
ROUND(IFERROR(VALUE(TRIM(SUBSTITUTE(AG98,CHAR(160),""))),0),2)=
ROUND(IFERROR(VALUE(TRIM(SUBSTITUTE(O98,CHAR(160),""))),0),2),
"OK",
ROUND(IFERROR(VALUE(TRIM(SUBSTITUTE(AG98,CHAR(160),""))),0),2)=0,
"Attention : Montant présenté entièrement rejeté.",
ROUND(IFERROR(VALUE(TRIM(SUBSTITUTE(AG98,CHAR(160),""))),0),2)&lt;
ROUND(IFERROR(VALUE(TRIM(SUBSTITUTE(O98,CHAR(160),""))),0),2),
"Attention : Montant présenté partiellement rejeté.",
TRUE,""
))</f>
        <v/>
      </c>
      <c r="AJ98" s="251" t="str">
        <f t="shared" si="47"/>
        <v/>
      </c>
    </row>
    <row r="99" spans="1:36" ht="15" customHeight="1">
      <c r="A99" s="193">
        <v>95</v>
      </c>
      <c r="B99" s="268"/>
      <c r="C99" s="7"/>
      <c r="D99" s="7"/>
      <c r="E99" s="12"/>
      <c r="F99" s="7"/>
      <c r="G99" s="13"/>
      <c r="H99" s="7"/>
      <c r="I99" s="10"/>
      <c r="J99" s="14"/>
      <c r="K99" s="10"/>
      <c r="L99" s="10"/>
      <c r="M99" s="851" t="str">
        <f t="shared" si="30"/>
        <v/>
      </c>
      <c r="N99" s="15"/>
      <c r="O99" s="280" t="str">
        <f t="shared" si="31"/>
        <v/>
      </c>
      <c r="P99" s="7"/>
      <c r="Q99" s="192"/>
      <c r="R99" s="190" t="str">
        <f t="shared" si="32"/>
        <v/>
      </c>
      <c r="S99" s="154" t="str">
        <f t="shared" si="33"/>
        <v/>
      </c>
      <c r="T99" s="154" t="str">
        <f t="shared" si="34"/>
        <v/>
      </c>
      <c r="U99" s="154" t="str">
        <f t="shared" si="35"/>
        <v/>
      </c>
      <c r="V99" s="154" t="str">
        <f t="shared" si="36"/>
        <v/>
      </c>
      <c r="W99" s="110" t="str">
        <f t="shared" si="37"/>
        <v/>
      </c>
      <c r="X99" s="154" t="str">
        <f t="shared" si="38"/>
        <v/>
      </c>
      <c r="Y99" s="111" t="str">
        <f t="shared" si="39"/>
        <v/>
      </c>
      <c r="Z99" s="154" t="str">
        <f t="shared" si="40"/>
        <v/>
      </c>
      <c r="AA99" s="111" t="str">
        <f t="shared" si="41"/>
        <v/>
      </c>
      <c r="AB99" s="111" t="str">
        <f t="shared" si="42"/>
        <v/>
      </c>
      <c r="AC99" s="851" t="str">
        <f t="shared" si="43"/>
        <v/>
      </c>
      <c r="AD99" s="32" t="str">
        <f t="shared" si="44"/>
        <v/>
      </c>
      <c r="AE99" s="154" t="str">
        <f t="shared" si="45"/>
        <v/>
      </c>
      <c r="AF99" s="7"/>
      <c r="AG99" s="280" t="str">
        <f t="shared" si="46"/>
        <v/>
      </c>
      <c r="AH99" s="603"/>
      <c r="AI99" s="252" t="str" cm="1">
        <f t="array" ref="AI99">IF(OR(AG99="",O99=""),"",_xlfn.IFS(
ROUND(IFERROR(VALUE(TRIM(SUBSTITUTE(AG99,CHAR(160),""))),0),2)&gt;
ROUND(IFERROR(VALUE(TRIM(SUBSTITUTE(O99,CHAR(160),""))),0),2),
"KO : Le montant retenu est supérieur au montant présenté. Merci de revoir la ligne de contributions ou plafonner son montant.",
ROUND(IFERROR(VALUE(TRIM(SUBSTITUTE(O99,CHAR(160),""))),0),2)=0,
"",
ROUND(IFERROR(VALUE(TRIM(SUBSTITUTE(AG99,CHAR(160),""))),0),2)=
ROUND(IFERROR(VALUE(TRIM(SUBSTITUTE(O99,CHAR(160),""))),0),2),
"OK",
ROUND(IFERROR(VALUE(TRIM(SUBSTITUTE(AG99,CHAR(160),""))),0),2)=0,
"Attention : Montant présenté entièrement rejeté.",
ROUND(IFERROR(VALUE(TRIM(SUBSTITUTE(AG99,CHAR(160),""))),0),2)&lt;
ROUND(IFERROR(VALUE(TRIM(SUBSTITUTE(O99,CHAR(160),""))),0),2),
"Attention : Montant présenté partiellement rejeté.",
TRUE,""
))</f>
        <v/>
      </c>
      <c r="AJ99" s="251" t="str">
        <f t="shared" si="47"/>
        <v/>
      </c>
    </row>
    <row r="100" spans="1:36" ht="15" customHeight="1">
      <c r="A100" s="193">
        <v>96</v>
      </c>
      <c r="B100" s="268"/>
      <c r="C100" s="7"/>
      <c r="D100" s="7"/>
      <c r="E100" s="12"/>
      <c r="F100" s="7"/>
      <c r="G100" s="13"/>
      <c r="H100" s="7"/>
      <c r="I100" s="10"/>
      <c r="J100" s="14"/>
      <c r="K100" s="10"/>
      <c r="L100" s="10"/>
      <c r="M100" s="851" t="str">
        <f t="shared" si="30"/>
        <v/>
      </c>
      <c r="N100" s="15"/>
      <c r="O100" s="280" t="str">
        <f t="shared" si="31"/>
        <v/>
      </c>
      <c r="P100" s="7"/>
      <c r="Q100" s="192"/>
      <c r="R100" s="190" t="str">
        <f t="shared" si="32"/>
        <v/>
      </c>
      <c r="S100" s="154" t="str">
        <f t="shared" si="33"/>
        <v/>
      </c>
      <c r="T100" s="154" t="str">
        <f t="shared" si="34"/>
        <v/>
      </c>
      <c r="U100" s="154" t="str">
        <f t="shared" si="35"/>
        <v/>
      </c>
      <c r="V100" s="154" t="str">
        <f t="shared" si="36"/>
        <v/>
      </c>
      <c r="W100" s="110" t="str">
        <f t="shared" si="37"/>
        <v/>
      </c>
      <c r="X100" s="154" t="str">
        <f t="shared" si="38"/>
        <v/>
      </c>
      <c r="Y100" s="111" t="str">
        <f t="shared" si="39"/>
        <v/>
      </c>
      <c r="Z100" s="154" t="str">
        <f t="shared" si="40"/>
        <v/>
      </c>
      <c r="AA100" s="111" t="str">
        <f t="shared" si="41"/>
        <v/>
      </c>
      <c r="AB100" s="111" t="str">
        <f t="shared" si="42"/>
        <v/>
      </c>
      <c r="AC100" s="851" t="str">
        <f t="shared" si="43"/>
        <v/>
      </c>
      <c r="AD100" s="32" t="str">
        <f t="shared" si="44"/>
        <v/>
      </c>
      <c r="AE100" s="154" t="str">
        <f t="shared" si="45"/>
        <v/>
      </c>
      <c r="AF100" s="7"/>
      <c r="AG100" s="280" t="str">
        <f t="shared" si="46"/>
        <v/>
      </c>
      <c r="AH100" s="603"/>
      <c r="AI100" s="252" t="str" cm="1">
        <f t="array" ref="AI100">IF(OR(AG100="",O100=""),"",_xlfn.IFS(
ROUND(IFERROR(VALUE(TRIM(SUBSTITUTE(AG100,CHAR(160),""))),0),2)&gt;
ROUND(IFERROR(VALUE(TRIM(SUBSTITUTE(O100,CHAR(160),""))),0),2),
"KO : Le montant retenu est supérieur au montant présenté. Merci de revoir la ligne de contributions ou plafonner son montant.",
ROUND(IFERROR(VALUE(TRIM(SUBSTITUTE(O100,CHAR(160),""))),0),2)=0,
"",
ROUND(IFERROR(VALUE(TRIM(SUBSTITUTE(AG100,CHAR(160),""))),0),2)=
ROUND(IFERROR(VALUE(TRIM(SUBSTITUTE(O100,CHAR(160),""))),0),2),
"OK",
ROUND(IFERROR(VALUE(TRIM(SUBSTITUTE(AG100,CHAR(160),""))),0),2)=0,
"Attention : Montant présenté entièrement rejeté.",
ROUND(IFERROR(VALUE(TRIM(SUBSTITUTE(AG100,CHAR(160),""))),0),2)&lt;
ROUND(IFERROR(VALUE(TRIM(SUBSTITUTE(O100,CHAR(160),""))),0),2),
"Attention : Montant présenté partiellement rejeté.",
TRUE,""
))</f>
        <v/>
      </c>
      <c r="AJ100" s="251" t="str">
        <f t="shared" si="47"/>
        <v/>
      </c>
    </row>
    <row r="101" spans="1:36" ht="15" customHeight="1">
      <c r="A101" s="193">
        <v>97</v>
      </c>
      <c r="B101" s="268"/>
      <c r="C101" s="7"/>
      <c r="D101" s="7"/>
      <c r="E101" s="12"/>
      <c r="F101" s="7"/>
      <c r="G101" s="13"/>
      <c r="H101" s="7"/>
      <c r="I101" s="10"/>
      <c r="J101" s="14"/>
      <c r="K101" s="10"/>
      <c r="L101" s="10"/>
      <c r="M101" s="851" t="str">
        <f t="shared" si="30"/>
        <v/>
      </c>
      <c r="N101" s="15"/>
      <c r="O101" s="280" t="str">
        <f t="shared" si="31"/>
        <v/>
      </c>
      <c r="P101" s="7"/>
      <c r="Q101" s="192"/>
      <c r="R101" s="190" t="str">
        <f t="shared" si="32"/>
        <v/>
      </c>
      <c r="S101" s="154" t="str">
        <f t="shared" si="33"/>
        <v/>
      </c>
      <c r="T101" s="154" t="str">
        <f t="shared" si="34"/>
        <v/>
      </c>
      <c r="U101" s="154" t="str">
        <f t="shared" si="35"/>
        <v/>
      </c>
      <c r="V101" s="154" t="str">
        <f t="shared" si="36"/>
        <v/>
      </c>
      <c r="W101" s="110" t="str">
        <f t="shared" si="37"/>
        <v/>
      </c>
      <c r="X101" s="154" t="str">
        <f t="shared" si="38"/>
        <v/>
      </c>
      <c r="Y101" s="111" t="str">
        <f t="shared" si="39"/>
        <v/>
      </c>
      <c r="Z101" s="154" t="str">
        <f t="shared" si="40"/>
        <v/>
      </c>
      <c r="AA101" s="111" t="str">
        <f t="shared" si="41"/>
        <v/>
      </c>
      <c r="AB101" s="111" t="str">
        <f t="shared" si="42"/>
        <v/>
      </c>
      <c r="AC101" s="851" t="str">
        <f t="shared" si="43"/>
        <v/>
      </c>
      <c r="AD101" s="32" t="str">
        <f t="shared" si="44"/>
        <v/>
      </c>
      <c r="AE101" s="154" t="str">
        <f t="shared" si="45"/>
        <v/>
      </c>
      <c r="AF101" s="7"/>
      <c r="AG101" s="280" t="str">
        <f t="shared" si="46"/>
        <v/>
      </c>
      <c r="AH101" s="603"/>
      <c r="AI101" s="252" t="str" cm="1">
        <f t="array" ref="AI101">IF(OR(AG101="",O101=""),"",_xlfn.IFS(
ROUND(IFERROR(VALUE(TRIM(SUBSTITUTE(AG101,CHAR(160),""))),0),2)&gt;
ROUND(IFERROR(VALUE(TRIM(SUBSTITUTE(O101,CHAR(160),""))),0),2),
"KO : Le montant retenu est supérieur au montant présenté. Merci de revoir la ligne de contributions ou plafonner son montant.",
ROUND(IFERROR(VALUE(TRIM(SUBSTITUTE(O101,CHAR(160),""))),0),2)=0,
"",
ROUND(IFERROR(VALUE(TRIM(SUBSTITUTE(AG101,CHAR(160),""))),0),2)=
ROUND(IFERROR(VALUE(TRIM(SUBSTITUTE(O101,CHAR(160),""))),0),2),
"OK",
ROUND(IFERROR(VALUE(TRIM(SUBSTITUTE(AG101,CHAR(160),""))),0),2)=0,
"Attention : Montant présenté entièrement rejeté.",
ROUND(IFERROR(VALUE(TRIM(SUBSTITUTE(AG101,CHAR(160),""))),0),2)&lt;
ROUND(IFERROR(VALUE(TRIM(SUBSTITUTE(O101,CHAR(160),""))),0),2),
"Attention : Montant présenté partiellement rejeté.",
TRUE,""
))</f>
        <v/>
      </c>
      <c r="AJ101" s="251" t="str">
        <f t="shared" si="47"/>
        <v/>
      </c>
    </row>
    <row r="102" spans="1:36" ht="15" customHeight="1">
      <c r="A102" s="193">
        <v>98</v>
      </c>
      <c r="B102" s="268"/>
      <c r="C102" s="7"/>
      <c r="D102" s="7"/>
      <c r="E102" s="12"/>
      <c r="F102" s="7"/>
      <c r="G102" s="13"/>
      <c r="H102" s="7"/>
      <c r="I102" s="10"/>
      <c r="J102" s="14"/>
      <c r="K102" s="10"/>
      <c r="L102" s="10"/>
      <c r="M102" s="851" t="str">
        <f t="shared" si="30"/>
        <v/>
      </c>
      <c r="N102" s="15"/>
      <c r="O102" s="280" t="str">
        <f t="shared" si="31"/>
        <v/>
      </c>
      <c r="P102" s="7"/>
      <c r="Q102" s="192"/>
      <c r="R102" s="190" t="str">
        <f t="shared" si="32"/>
        <v/>
      </c>
      <c r="S102" s="154" t="str">
        <f t="shared" si="33"/>
        <v/>
      </c>
      <c r="T102" s="154" t="str">
        <f t="shared" si="34"/>
        <v/>
      </c>
      <c r="U102" s="154" t="str">
        <f t="shared" si="35"/>
        <v/>
      </c>
      <c r="V102" s="154" t="str">
        <f t="shared" si="36"/>
        <v/>
      </c>
      <c r="W102" s="110" t="str">
        <f t="shared" si="37"/>
        <v/>
      </c>
      <c r="X102" s="154" t="str">
        <f t="shared" si="38"/>
        <v/>
      </c>
      <c r="Y102" s="111" t="str">
        <f t="shared" si="39"/>
        <v/>
      </c>
      <c r="Z102" s="154" t="str">
        <f t="shared" si="40"/>
        <v/>
      </c>
      <c r="AA102" s="111" t="str">
        <f t="shared" si="41"/>
        <v/>
      </c>
      <c r="AB102" s="111" t="str">
        <f t="shared" si="42"/>
        <v/>
      </c>
      <c r="AC102" s="851" t="str">
        <f t="shared" si="43"/>
        <v/>
      </c>
      <c r="AD102" s="32" t="str">
        <f t="shared" si="44"/>
        <v/>
      </c>
      <c r="AE102" s="154" t="str">
        <f t="shared" si="45"/>
        <v/>
      </c>
      <c r="AF102" s="7"/>
      <c r="AG102" s="280" t="str">
        <f t="shared" si="46"/>
        <v/>
      </c>
      <c r="AH102" s="603"/>
      <c r="AI102" s="252" t="str" cm="1">
        <f t="array" ref="AI102">IF(OR(AG102="",O102=""),"",_xlfn.IFS(
ROUND(IFERROR(VALUE(TRIM(SUBSTITUTE(AG102,CHAR(160),""))),0),2)&gt;
ROUND(IFERROR(VALUE(TRIM(SUBSTITUTE(O102,CHAR(160),""))),0),2),
"KO : Le montant retenu est supérieur au montant présenté. Merci de revoir la ligne de contributions ou plafonner son montant.",
ROUND(IFERROR(VALUE(TRIM(SUBSTITUTE(O102,CHAR(160),""))),0),2)=0,
"",
ROUND(IFERROR(VALUE(TRIM(SUBSTITUTE(AG102,CHAR(160),""))),0),2)=
ROUND(IFERROR(VALUE(TRIM(SUBSTITUTE(O102,CHAR(160),""))),0),2),
"OK",
ROUND(IFERROR(VALUE(TRIM(SUBSTITUTE(AG102,CHAR(160),""))),0),2)=0,
"Attention : Montant présenté entièrement rejeté.",
ROUND(IFERROR(VALUE(TRIM(SUBSTITUTE(AG102,CHAR(160),""))),0),2)&lt;
ROUND(IFERROR(VALUE(TRIM(SUBSTITUTE(O102,CHAR(160),""))),0),2),
"Attention : Montant présenté partiellement rejeté.",
TRUE,""
))</f>
        <v/>
      </c>
      <c r="AJ102" s="251" t="str">
        <f t="shared" si="47"/>
        <v/>
      </c>
    </row>
    <row r="103" spans="1:36" ht="15" customHeight="1">
      <c r="A103" s="193">
        <v>99</v>
      </c>
      <c r="B103" s="268"/>
      <c r="C103" s="7"/>
      <c r="D103" s="7"/>
      <c r="E103" s="12"/>
      <c r="F103" s="7"/>
      <c r="G103" s="13"/>
      <c r="H103" s="7"/>
      <c r="I103" s="10"/>
      <c r="J103" s="14"/>
      <c r="K103" s="10"/>
      <c r="L103" s="10"/>
      <c r="M103" s="851" t="str">
        <f t="shared" si="30"/>
        <v/>
      </c>
      <c r="N103" s="15"/>
      <c r="O103" s="280" t="str">
        <f t="shared" si="31"/>
        <v/>
      </c>
      <c r="P103" s="7"/>
      <c r="Q103" s="192"/>
      <c r="R103" s="190" t="str">
        <f t="shared" si="32"/>
        <v/>
      </c>
      <c r="S103" s="154" t="str">
        <f t="shared" si="33"/>
        <v/>
      </c>
      <c r="T103" s="154" t="str">
        <f t="shared" si="34"/>
        <v/>
      </c>
      <c r="U103" s="154" t="str">
        <f t="shared" si="35"/>
        <v/>
      </c>
      <c r="V103" s="154" t="str">
        <f t="shared" si="36"/>
        <v/>
      </c>
      <c r="W103" s="110" t="str">
        <f t="shared" si="37"/>
        <v/>
      </c>
      <c r="X103" s="154" t="str">
        <f t="shared" si="38"/>
        <v/>
      </c>
      <c r="Y103" s="111" t="str">
        <f t="shared" si="39"/>
        <v/>
      </c>
      <c r="Z103" s="154" t="str">
        <f t="shared" si="40"/>
        <v/>
      </c>
      <c r="AA103" s="111" t="str">
        <f t="shared" si="41"/>
        <v/>
      </c>
      <c r="AB103" s="111" t="str">
        <f t="shared" si="42"/>
        <v/>
      </c>
      <c r="AC103" s="851" t="str">
        <f t="shared" si="43"/>
        <v/>
      </c>
      <c r="AD103" s="32" t="str">
        <f t="shared" si="44"/>
        <v/>
      </c>
      <c r="AE103" s="154" t="str">
        <f t="shared" si="45"/>
        <v/>
      </c>
      <c r="AF103" s="7"/>
      <c r="AG103" s="280" t="str">
        <f t="shared" si="46"/>
        <v/>
      </c>
      <c r="AH103" s="603"/>
      <c r="AI103" s="252" t="str" cm="1">
        <f t="array" ref="AI103">IF(OR(AG103="",O103=""),"",_xlfn.IFS(
ROUND(IFERROR(VALUE(TRIM(SUBSTITUTE(AG103,CHAR(160),""))),0),2)&gt;
ROUND(IFERROR(VALUE(TRIM(SUBSTITUTE(O103,CHAR(160),""))),0),2),
"KO : Le montant retenu est supérieur au montant présenté. Merci de revoir la ligne de contributions ou plafonner son montant.",
ROUND(IFERROR(VALUE(TRIM(SUBSTITUTE(O103,CHAR(160),""))),0),2)=0,
"",
ROUND(IFERROR(VALUE(TRIM(SUBSTITUTE(AG103,CHAR(160),""))),0),2)=
ROUND(IFERROR(VALUE(TRIM(SUBSTITUTE(O103,CHAR(160),""))),0),2),
"OK",
ROUND(IFERROR(VALUE(TRIM(SUBSTITUTE(AG103,CHAR(160),""))),0),2)=0,
"Attention : Montant présenté entièrement rejeté.",
ROUND(IFERROR(VALUE(TRIM(SUBSTITUTE(AG103,CHAR(160),""))),0),2)&lt;
ROUND(IFERROR(VALUE(TRIM(SUBSTITUTE(O103,CHAR(160),""))),0),2),
"Attention : Montant présenté partiellement rejeté.",
TRUE,""
))</f>
        <v/>
      </c>
      <c r="AJ103" s="251" t="str">
        <f t="shared" si="47"/>
        <v/>
      </c>
    </row>
    <row r="104" spans="1:36" ht="15" customHeight="1">
      <c r="A104" s="193">
        <v>100</v>
      </c>
      <c r="B104" s="268"/>
      <c r="C104" s="7"/>
      <c r="D104" s="7"/>
      <c r="E104" s="12"/>
      <c r="F104" s="7"/>
      <c r="G104" s="13"/>
      <c r="H104" s="7"/>
      <c r="I104" s="10"/>
      <c r="J104" s="14"/>
      <c r="K104" s="10"/>
      <c r="L104" s="10"/>
      <c r="M104" s="851" t="str">
        <f t="shared" si="30"/>
        <v/>
      </c>
      <c r="N104" s="15"/>
      <c r="O104" s="280" t="str">
        <f t="shared" si="31"/>
        <v/>
      </c>
      <c r="P104" s="7"/>
      <c r="Q104" s="192"/>
      <c r="R104" s="190" t="str">
        <f t="shared" si="32"/>
        <v/>
      </c>
      <c r="S104" s="154" t="str">
        <f t="shared" si="33"/>
        <v/>
      </c>
      <c r="T104" s="154" t="str">
        <f t="shared" si="34"/>
        <v/>
      </c>
      <c r="U104" s="154" t="str">
        <f t="shared" si="35"/>
        <v/>
      </c>
      <c r="V104" s="154" t="str">
        <f t="shared" si="36"/>
        <v/>
      </c>
      <c r="W104" s="110" t="str">
        <f t="shared" si="37"/>
        <v/>
      </c>
      <c r="X104" s="154" t="str">
        <f t="shared" si="38"/>
        <v/>
      </c>
      <c r="Y104" s="111" t="str">
        <f t="shared" si="39"/>
        <v/>
      </c>
      <c r="Z104" s="154" t="str">
        <f t="shared" si="40"/>
        <v/>
      </c>
      <c r="AA104" s="111" t="str">
        <f t="shared" si="41"/>
        <v/>
      </c>
      <c r="AB104" s="111" t="str">
        <f t="shared" si="42"/>
        <v/>
      </c>
      <c r="AC104" s="851" t="str">
        <f t="shared" si="43"/>
        <v/>
      </c>
      <c r="AD104" s="32" t="str">
        <f t="shared" si="44"/>
        <v/>
      </c>
      <c r="AE104" s="154" t="str">
        <f t="shared" si="45"/>
        <v/>
      </c>
      <c r="AF104" s="7"/>
      <c r="AG104" s="280" t="str">
        <f t="shared" si="46"/>
        <v/>
      </c>
      <c r="AH104" s="603"/>
      <c r="AI104" s="252" t="str" cm="1">
        <f t="array" ref="AI104">IF(OR(AG104="",O104=""),"",_xlfn.IFS(
ROUND(IFERROR(VALUE(TRIM(SUBSTITUTE(AG104,CHAR(160),""))),0),2)&gt;
ROUND(IFERROR(VALUE(TRIM(SUBSTITUTE(O104,CHAR(160),""))),0),2),
"KO : Le montant retenu est supérieur au montant présenté. Merci de revoir la ligne de contributions ou plafonner son montant.",
ROUND(IFERROR(VALUE(TRIM(SUBSTITUTE(O104,CHAR(160),""))),0),2)=0,
"",
ROUND(IFERROR(VALUE(TRIM(SUBSTITUTE(AG104,CHAR(160),""))),0),2)=
ROUND(IFERROR(VALUE(TRIM(SUBSTITUTE(O104,CHAR(160),""))),0),2),
"OK",
ROUND(IFERROR(VALUE(TRIM(SUBSTITUTE(AG104,CHAR(160),""))),0),2)=0,
"Attention : Montant présenté entièrement rejeté.",
ROUND(IFERROR(VALUE(TRIM(SUBSTITUTE(AG104,CHAR(160),""))),0),2)&lt;
ROUND(IFERROR(VALUE(TRIM(SUBSTITUTE(O104,CHAR(160),""))),0),2),
"Attention : Montant présenté partiellement rejeté.",
TRUE,""
))</f>
        <v/>
      </c>
      <c r="AJ104" s="251" t="str">
        <f t="shared" si="47"/>
        <v/>
      </c>
    </row>
    <row r="105" spans="1:36" ht="15.95" thickBot="1">
      <c r="A105" s="966" t="s">
        <v>137</v>
      </c>
      <c r="B105" s="967"/>
      <c r="C105" s="967"/>
      <c r="D105" s="967"/>
      <c r="E105" s="967"/>
      <c r="F105" s="967"/>
      <c r="G105" s="967"/>
      <c r="H105" s="967"/>
      <c r="I105" s="967"/>
      <c r="J105" s="967"/>
      <c r="K105" s="967"/>
      <c r="L105" s="967"/>
      <c r="M105" s="967"/>
      <c r="N105" s="967"/>
      <c r="O105" s="180">
        <f>SUM(O5:O104)</f>
        <v>0</v>
      </c>
      <c r="P105" s="178"/>
      <c r="Q105" s="181"/>
      <c r="R105" s="145"/>
      <c r="S105" s="145"/>
      <c r="T105" s="145"/>
      <c r="U105" s="145"/>
      <c r="V105" s="145"/>
      <c r="W105" s="145"/>
      <c r="X105" s="145"/>
      <c r="Y105" s="145"/>
      <c r="Z105" s="145"/>
      <c r="AA105" s="145"/>
      <c r="AB105" s="145"/>
      <c r="AC105" s="145"/>
      <c r="AD105" s="145"/>
      <c r="AE105" s="145"/>
      <c r="AF105" s="156" t="s">
        <v>138</v>
      </c>
      <c r="AG105" s="155">
        <f>SUM(AG5:AG104)</f>
        <v>0</v>
      </c>
      <c r="AH105" s="145"/>
      <c r="AI105" s="145"/>
      <c r="AJ105" s="155">
        <f>SUM(AJ5:AJ104)</f>
        <v>0</v>
      </c>
    </row>
  </sheetData>
  <sheetProtection formatCells="0" formatColumns="0" formatRows="0" insertRows="0"/>
  <mergeCells count="4">
    <mergeCell ref="R1:AJ1"/>
    <mergeCell ref="A105:N105"/>
    <mergeCell ref="A2:A3"/>
    <mergeCell ref="A1:Q1"/>
  </mergeCells>
  <phoneticPr fontId="11" type="noConversion"/>
  <conditionalFormatting sqref="M5:M104">
    <cfRule type="expression" dxfId="48" priority="3">
      <formula>M5&gt;I5</formula>
    </cfRule>
  </conditionalFormatting>
  <conditionalFormatting sqref="R5:AD104">
    <cfRule type="expression" dxfId="47" priority="307">
      <formula>R5&lt;&gt;B5</formula>
    </cfRule>
  </conditionalFormatting>
  <conditionalFormatting sqref="AC5:AC104">
    <cfRule type="expression" dxfId="46" priority="1">
      <formula>AC5&gt;Y5</formula>
    </cfRule>
  </conditionalFormatting>
  <conditionalFormatting sqref="AI5:AI104">
    <cfRule type="containsText" dxfId="45" priority="8" operator="containsText" text="OK">
      <formula>NOT(ISERROR(SEARCH("OK",AI5)))</formula>
    </cfRule>
    <cfRule type="containsText" dxfId="44" priority="9" operator="containsText" text="KO">
      <formula>NOT(ISERROR(SEARCH("KO",AI5)))</formula>
    </cfRule>
    <cfRule type="containsText" dxfId="43" priority="10" operator="containsText" text="Attention">
      <formula>NOT(ISERROR(SEARCH("Attention",AI5)))</formula>
    </cfRule>
  </conditionalFormatting>
  <dataValidations count="3">
    <dataValidation type="list" allowBlank="1" showInputMessage="1" showErrorMessage="1" sqref="T4" xr:uid="{BA0EB8C9-3380-41E8-841B-75E098FEFCE0}">
      <formula1>"Devis 1,Devis 2,Devis 3"</formula1>
    </dataValidation>
    <dataValidation type="list" allowBlank="1" showInputMessage="1" showErrorMessage="1" sqref="E5:E104" xr:uid="{806CD9A5-78A7-4A7F-8F14-C00454FE403D}">
      <formula1>"Neuf,Occasion"</formula1>
    </dataValidation>
    <dataValidation type="list" allowBlank="1" showInputMessage="1" showErrorMessage="1" sqref="AF5:AF104" xr:uid="{7C6E4591-6DB0-4123-AACF-62B9954A7FEF}">
      <formula1>"Oui,Non,Sans objet"</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xr:uid="{135F80C9-88C7-43D1-9DCE-FC7DD881C170}">
          <x14:formula1>
            <xm:f>'0-Présentation typeaction'!$H$4:$H$12</xm:f>
          </x14:formula1>
          <xm:sqref>C4 C6:C104</xm:sqref>
        </x14:dataValidation>
        <x14:dataValidation type="list" allowBlank="1" showInputMessage="1" showErrorMessage="1" xr:uid="{737B6FAE-4772-7A4C-A745-D7799AE5B0B4}">
          <x14:formula1>
            <xm:f>'0-Présentation typeaction'!$H$4:$H$12</xm:f>
          </x14:formula1>
          <xm:sqref>S5:S104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86F08-1CE3-4E50-B5F8-EBB727A364C9}">
  <sheetPr>
    <pageSetUpPr fitToPage="1"/>
  </sheetPr>
  <dimension ref="A1:O15"/>
  <sheetViews>
    <sheetView showGridLines="0" topLeftCell="B1" zoomScale="50" zoomScaleNormal="70" workbookViewId="0">
      <selection activeCell="E34" sqref="E34"/>
    </sheetView>
  </sheetViews>
  <sheetFormatPr defaultColWidth="11.42578125" defaultRowHeight="15" outlineLevelCol="1"/>
  <cols>
    <col min="1" max="1" width="27.42578125" style="115" bestFit="1" customWidth="1"/>
    <col min="2" max="2" width="37.140625" style="115" customWidth="1"/>
    <col min="3" max="3" width="35.42578125" style="161" customWidth="1"/>
    <col min="4" max="4" width="56.42578125" style="115" customWidth="1"/>
    <col min="5" max="5" width="40.140625" style="115" customWidth="1"/>
    <col min="6" max="6" width="56.42578125" style="115" customWidth="1"/>
    <col min="7" max="7" width="55.140625" style="115" customWidth="1"/>
    <col min="8" max="8" width="51.42578125" style="115" customWidth="1" outlineLevel="1"/>
    <col min="9" max="9" width="38.140625" style="115" customWidth="1" outlineLevel="1"/>
    <col min="10" max="10" width="29.85546875" style="115" customWidth="1" outlineLevel="1"/>
    <col min="11" max="12" width="24.42578125" style="115" customWidth="1" outlineLevel="1"/>
    <col min="13" max="13" width="70" style="115" customWidth="1" outlineLevel="1"/>
    <col min="14" max="14" width="47.42578125" style="115" customWidth="1" outlineLevel="1"/>
    <col min="15" max="15" width="19.85546875" style="115" customWidth="1" outlineLevel="1"/>
    <col min="16" max="16384" width="11.42578125" style="115"/>
  </cols>
  <sheetData>
    <row r="1" spans="1:15" ht="115.5" customHeight="1">
      <c r="A1" s="945" t="s">
        <v>207</v>
      </c>
      <c r="B1" s="969"/>
      <c r="C1" s="969"/>
      <c r="D1" s="969"/>
      <c r="E1" s="969"/>
      <c r="F1" s="969"/>
      <c r="G1" s="970"/>
      <c r="H1" s="979" t="s">
        <v>208</v>
      </c>
      <c r="I1" s="980"/>
      <c r="J1" s="980"/>
      <c r="K1" s="980"/>
      <c r="L1" s="980"/>
      <c r="M1" s="980"/>
      <c r="N1" s="980"/>
      <c r="O1" s="981"/>
    </row>
    <row r="2" spans="1:15" ht="45.95" customHeight="1" thickBot="1">
      <c r="A2" s="982" t="s">
        <v>209</v>
      </c>
      <c r="B2" s="983"/>
      <c r="C2" s="983"/>
      <c r="D2" s="983"/>
      <c r="E2" s="983"/>
      <c r="F2" s="983"/>
      <c r="G2" s="984"/>
      <c r="H2" s="977" t="s">
        <v>210</v>
      </c>
      <c r="I2" s="977"/>
      <c r="J2" s="977"/>
      <c r="K2" s="977"/>
      <c r="L2" s="977"/>
      <c r="M2" s="977"/>
      <c r="N2" s="977"/>
      <c r="O2" s="978"/>
    </row>
    <row r="3" spans="1:15" s="3" customFormat="1" ht="63.95">
      <c r="A3" s="961" t="s">
        <v>51</v>
      </c>
      <c r="B3" s="41" t="s">
        <v>55</v>
      </c>
      <c r="C3" s="41" t="s">
        <v>211</v>
      </c>
      <c r="D3" s="41" t="s">
        <v>212</v>
      </c>
      <c r="E3" s="73" t="s">
        <v>213</v>
      </c>
      <c r="F3" s="73" t="s">
        <v>214</v>
      </c>
      <c r="G3" s="171" t="s">
        <v>215</v>
      </c>
      <c r="H3" s="182" t="s">
        <v>55</v>
      </c>
      <c r="I3" s="31" t="s">
        <v>216</v>
      </c>
      <c r="J3" s="31" t="s">
        <v>217</v>
      </c>
      <c r="K3" s="129" t="s">
        <v>218</v>
      </c>
      <c r="L3" s="129" t="s">
        <v>219</v>
      </c>
      <c r="M3" s="31" t="s">
        <v>91</v>
      </c>
      <c r="N3" s="31" t="s">
        <v>93</v>
      </c>
      <c r="O3" s="31" t="s">
        <v>165</v>
      </c>
    </row>
    <row r="4" spans="1:15" s="3" customFormat="1" ht="121.5" customHeight="1">
      <c r="A4" s="912"/>
      <c r="B4" s="22" t="s">
        <v>220</v>
      </c>
      <c r="C4" s="22" t="s">
        <v>221</v>
      </c>
      <c r="D4" s="22" t="s">
        <v>222</v>
      </c>
      <c r="E4" s="79" t="s">
        <v>223</v>
      </c>
      <c r="F4" s="79" t="s">
        <v>224</v>
      </c>
      <c r="G4" s="172" t="s">
        <v>225</v>
      </c>
      <c r="H4" s="86" t="s">
        <v>100</v>
      </c>
      <c r="I4" s="4" t="s">
        <v>116</v>
      </c>
      <c r="J4" s="4" t="s">
        <v>116</v>
      </c>
      <c r="K4" s="2" t="s">
        <v>116</v>
      </c>
      <c r="L4" s="2" t="s">
        <v>116</v>
      </c>
      <c r="M4" s="4" t="s">
        <v>175</v>
      </c>
      <c r="N4" s="4" t="s">
        <v>125</v>
      </c>
      <c r="O4" s="4" t="s">
        <v>116</v>
      </c>
    </row>
    <row r="5" spans="1:15" s="3" customFormat="1" ht="51" customHeight="1">
      <c r="A5" s="183" t="s">
        <v>41</v>
      </c>
      <c r="B5" s="5" t="s">
        <v>29</v>
      </c>
      <c r="C5" s="144">
        <v>30000</v>
      </c>
      <c r="D5" s="144">
        <v>6000</v>
      </c>
      <c r="E5" s="272" t="s">
        <v>154</v>
      </c>
      <c r="F5" s="277">
        <f>IF(AND(D5&lt;&gt;"",E5="Oui"),D5,"")</f>
        <v>6000</v>
      </c>
      <c r="G5" s="174"/>
      <c r="H5" s="5" t="str">
        <f>B5</f>
        <v>Construction / aménagement bâtiments</v>
      </c>
      <c r="I5" s="105">
        <f>C5</f>
        <v>30000</v>
      </c>
      <c r="J5" s="144">
        <f>D5</f>
        <v>6000</v>
      </c>
      <c r="K5" s="137" t="str">
        <f>E5</f>
        <v>Oui</v>
      </c>
      <c r="L5" s="105">
        <f>F5</f>
        <v>6000</v>
      </c>
      <c r="M5" s="137"/>
      <c r="N5" s="23" t="str" cm="1">
        <f t="array" ref="N5">IF(OR(I5="",C5=""),"",_xlfn.IFS(IFERROR(VALUE(TRIM(SUBSTITUTE(I5,CHAR(160),""))),0)&gt;IFERROR(VALUE(TRIM(SUBSTITUTE(C5,CHAR(160),""))),0),"KO : Le montant retenu est supérieur au montant présenté.",IFERROR(VALUE(TRIM(SUBSTITUTE(I5,CHAR(160),""))),0)=0,"",IFERROR(VALUE(TRIM(SUBSTITUTE(I5,CHAR(160),""))),0)=IFERROR(VALUE(TRIM(SUBSTITUTE(C5,CHAR(160),""))),0),"OK",IFERROR(VALUE(TRIM(SUBSTITUTE(I5,CHAR(160),""))),0)&lt;IFERROR(VALUE(TRIM(SUBSTITUTE(C5,CHAR(160),""))),0),"Montant instruit inférieur au montant présenté.",TRUE,""))</f>
        <v>OK</v>
      </c>
      <c r="O5" s="102">
        <f t="shared" ref="O5" si="0">IF(OR(D5="",J5=""),"",D5-J5)</f>
        <v>0</v>
      </c>
    </row>
    <row r="6" spans="1:15" s="3" customFormat="1" ht="65.25" customHeight="1">
      <c r="A6" s="27">
        <v>1</v>
      </c>
      <c r="B6" s="24" t="s">
        <v>27</v>
      </c>
      <c r="C6" s="270">
        <f>SUMIFS('1-Investissements'!$AD$9:$AD$108,'1-Investissements'!$E$9:$E$108,'5-Tx forf personnel+autoconst'!B6,'1-Investissements'!$H$9:$H$108,"&lt;&gt;Oui")+SUMIFS('2-Frais généraux'!$AB$5:$AB$104,'2-Frais généraux'!$D$5:$D$104,'5-Tx forf personnel+autoconst'!B6,'2-Frais généraux'!$H$5:$H$104,"&lt;&gt;Oui")+SUMIFS('3-Contributions en nature'!$I$5:$I$104,'3-Contributions en nature'!$C$5:$C$104,'5-Tx forf personnel+autoconst'!B6)+SUMIFS('4-Amortissement'!$O$5:$O$104,'4-Amortissement'!$C$5:$C$104,'5-Tx forf personnel+autoconst'!B6)</f>
        <v>0</v>
      </c>
      <c r="D6" s="157">
        <f>IFERROR(C6*0.2,"")</f>
        <v>0</v>
      </c>
      <c r="E6" s="971"/>
      <c r="F6" s="278" t="str">
        <f>IF(AND(D6&lt;&gt;"",$E$6="Oui"),D6,"")</f>
        <v/>
      </c>
      <c r="G6" s="192"/>
      <c r="H6" s="271" t="str">
        <f t="shared" ref="H6:H14" si="1">IF(B6="","",B6)</f>
        <v>Modernisation installations / mécanisation</v>
      </c>
      <c r="I6" s="158">
        <f>SUMIFS('1-Investissements'!$BL$9:$BL$108,'1-Investissements'!$AI$9:$AI$108,'5-Tx forf personnel+autoconst'!H6,'1-Investissements'!$AL$9:$AL$108,"&lt;&gt;Oui")+SUMIFS('2-Frais généraux'!$BH$5:$BH$104,'2-Frais généraux'!$AF$5:$AF$104,'5-Tx forf personnel+autoconst'!B6,'2-Frais généraux'!$AJ$5:$AJ$104,"&lt;&gt;Oui")+SUMIFS('3-Contributions en nature'!$S$5:$S$104,'3-Contributions en nature'!$L$5:$L$104,'5-Tx forf personnel+autoconst'!B6)+SUMIFS('4-Amortissement'!$AG$5:$AG$104,'4-Amortissement'!$S$5:$S$104,'5-Tx forf personnel+autoconst'!B6)</f>
        <v>0</v>
      </c>
      <c r="J6" s="158">
        <f>IFERROR(0.2*I6,"")</f>
        <v>0</v>
      </c>
      <c r="K6" s="974" t="str">
        <f>IF(E6="","",E6)</f>
        <v/>
      </c>
      <c r="L6" s="274" t="str">
        <f>IF(AND(J6&lt;&gt;"",$K$6="Oui"),J6,"")</f>
        <v/>
      </c>
      <c r="M6" s="7"/>
      <c r="N6" s="23" t="str" cm="1">
        <f t="array" ref="N6">IF(OR(L6="",F6=""),"",_xlfn.IFS(
ROUND(IFERROR(VALUE(TRIM(SUBSTITUTE(L6,CHAR(160),""))),0),2)&gt;
ROUND(IFERROR(VALUE(TRIM(SUBSTITUTE(F6,CHAR(160),""))),0),2),
"KO : Le montant retenu est supérieur au montant présenté.",
ROUND(IFERROR(VALUE(TRIM(SUBSTITUTE(F6,CHAR(160),""))),0),2)=0,
"",
ROUND(IFERROR(VALUE(TRIM(SUBSTITUTE(L6,CHAR(160),""))),0),2)=
ROUND(IFERROR(VALUE(TRIM(SUBSTITUTE(F6,CHAR(160),""))),0),2),
"OK",
ROUND(IFERROR(VALUE(TRIM(SUBSTITUTE(L6,CHAR(160),""))),0),2)=0,
"Attention : Montant présenté entièrement rejeté.",
ROUND(IFERROR(VALUE(TRIM(SUBSTITUTE(L6,CHAR(160),""))),0),2)&lt;
ROUND(IFERROR(VALUE(TRIM(SUBSTITUTE(F6,CHAR(160),""))),0),2),
"Attention : Montant présenté partiellement rejeté.",
TRUE,""
))</f>
        <v/>
      </c>
      <c r="O6" s="32">
        <f t="shared" ref="O6:O14" si="2">IF(OR(D6="",J6=""),"",D6-J6)</f>
        <v>0</v>
      </c>
    </row>
    <row r="7" spans="1:15" s="3" customFormat="1" ht="65.25" customHeight="1">
      <c r="A7" s="27">
        <v>2</v>
      </c>
      <c r="B7" s="24" t="s">
        <v>29</v>
      </c>
      <c r="C7" s="270">
        <f>SUMIFS('1-Investissements'!$AD$9:$AD$108,'1-Investissements'!$E$9:$E$108,'5-Tx forf personnel+autoconst'!B7,'1-Investissements'!$H$9:$H$108,"&lt;&gt;Oui")+SUMIFS('2-Frais généraux'!$AB$5:$AB$104,'2-Frais généraux'!$D$5:$D$104,'5-Tx forf personnel+autoconst'!B7,'2-Frais généraux'!$H$5:$H$104,"&lt;&gt;Oui")+SUMIFS('3-Contributions en nature'!$I$5:$I$104,'3-Contributions en nature'!$C$5:$C$104,'5-Tx forf personnel+autoconst'!B7)+SUMIFS('4-Amortissement'!$O$5:$O$104,'4-Amortissement'!$C$5:$C$104,'5-Tx forf personnel+autoconst'!B7)</f>
        <v>0</v>
      </c>
      <c r="D7" s="157">
        <f t="shared" ref="D7:D14" si="3">IFERROR(C7*0.2,"")</f>
        <v>0</v>
      </c>
      <c r="E7" s="972"/>
      <c r="F7" s="278" t="str">
        <f t="shared" ref="F7:F14" si="4">IF(AND(D7&lt;&gt;"",$E$6="Oui"),D7,"")</f>
        <v/>
      </c>
      <c r="G7" s="192"/>
      <c r="H7" s="271" t="str">
        <f t="shared" si="1"/>
        <v>Construction / aménagement bâtiments</v>
      </c>
      <c r="I7" s="158">
        <f>SUMIFS('1-Investissements'!$BL$9:$BL$108,'1-Investissements'!$AI$9:$AI$108,'5-Tx forf personnel+autoconst'!H7,'1-Investissements'!$AL$9:$AL$108,"&lt;&gt;Oui")+SUMIFS('2-Frais généraux'!$BH$5:$BH$104,'2-Frais généraux'!$AF$5:$AF$104,'5-Tx forf personnel+autoconst'!B7,'2-Frais généraux'!$AJ$5:$AJ$104,"&lt;&gt;Oui")+SUMIFS('3-Contributions en nature'!$S$5:$S$104,'3-Contributions en nature'!$L$5:$L$104,'5-Tx forf personnel+autoconst'!B7)+SUMIFS('4-Amortissement'!$AG$5:$AG$104,'4-Amortissement'!$S$5:$S$104,'5-Tx forf personnel+autoconst'!B7)</f>
        <v>0</v>
      </c>
      <c r="J7" s="158">
        <f>IFERROR(0.2*I7,"")</f>
        <v>0</v>
      </c>
      <c r="K7" s="975"/>
      <c r="L7" s="274" t="str">
        <f t="shared" ref="L7:L14" si="5">IF(AND(J7&lt;&gt;"",$K$6="Oui"),J7,"")</f>
        <v/>
      </c>
      <c r="M7" s="7"/>
      <c r="N7" s="23" t="str" cm="1">
        <f t="array" ref="N7">IF(OR(L7="",F7=""),"",_xlfn.IFS(
ROUND(IFERROR(VALUE(TRIM(SUBSTITUTE(L7,CHAR(160),""))),0),2)&gt;
ROUND(IFERROR(VALUE(TRIM(SUBSTITUTE(F7,CHAR(160),""))),0),2),
"KO : Le montant retenu est supérieur au montant présenté.",
ROUND(IFERROR(VALUE(TRIM(SUBSTITUTE(F7,CHAR(160),""))),0),2)=0,
"",
ROUND(IFERROR(VALUE(TRIM(SUBSTITUTE(L7,CHAR(160),""))),0),2)=
ROUND(IFERROR(VALUE(TRIM(SUBSTITUTE(F7,CHAR(160),""))),0),2),
"OK",
ROUND(IFERROR(VALUE(TRIM(SUBSTITUTE(L7,CHAR(160),""))),0),2)=0,
"Attention : Montant présenté entièrement rejeté.",
ROUND(IFERROR(VALUE(TRIM(SUBSTITUTE(L7,CHAR(160),""))),0),2)&lt;
ROUND(IFERROR(VALUE(TRIM(SUBSTITUTE(F7,CHAR(160),""))),0),2),
"Attention : Montant présenté partiellement rejeté.",
TRUE,""
))</f>
        <v/>
      </c>
      <c r="O7" s="32">
        <f t="shared" si="2"/>
        <v>0</v>
      </c>
    </row>
    <row r="8" spans="1:15" s="3" customFormat="1" ht="65.25" customHeight="1">
      <c r="A8" s="27">
        <v>3</v>
      </c>
      <c r="B8" s="24" t="s">
        <v>30</v>
      </c>
      <c r="C8" s="270">
        <f>SUMIFS('1-Investissements'!$AD$9:$AD$108,'1-Investissements'!$E$9:$E$108,'5-Tx forf personnel+autoconst'!B8,'1-Investissements'!$H$9:$H$108,"&lt;&gt;Oui")+SUMIFS('2-Frais généraux'!$AB$5:$AB$104,'2-Frais généraux'!$D$5:$D$104,'5-Tx forf personnel+autoconst'!B8,'2-Frais généraux'!$H$5:$H$104,"&lt;&gt;Oui")+SUMIFS('3-Contributions en nature'!$I$5:$I$104,'3-Contributions en nature'!$C$5:$C$104,'5-Tx forf personnel+autoconst'!B8)+SUMIFS('4-Amortissement'!$O$5:$O$104,'4-Amortissement'!$C$5:$C$104,'5-Tx forf personnel+autoconst'!B8)</f>
        <v>0</v>
      </c>
      <c r="D8" s="157">
        <f t="shared" si="3"/>
        <v>0</v>
      </c>
      <c r="E8" s="972"/>
      <c r="F8" s="278" t="str">
        <f t="shared" si="4"/>
        <v/>
      </c>
      <c r="G8" s="192"/>
      <c r="H8" s="271" t="str">
        <f t="shared" si="1"/>
        <v>Plantations pérennes</v>
      </c>
      <c r="I8" s="158">
        <f>SUMIFS('1-Investissements'!$BL$9:$BL$108,'1-Investissements'!$AI$9:$AI$108,'5-Tx forf personnel+autoconst'!H8,'1-Investissements'!$AL$9:$AL$108,"&lt;&gt;Oui")+SUMIFS('2-Frais généraux'!$BH$5:$BH$104,'2-Frais généraux'!$AF$5:$AF$104,'5-Tx forf personnel+autoconst'!B8,'2-Frais généraux'!$AJ$5:$AJ$104,"&lt;&gt;Oui")+SUMIFS('3-Contributions en nature'!$S$5:$S$104,'3-Contributions en nature'!$L$5:$L$104,'5-Tx forf personnel+autoconst'!B8)+SUMIFS('4-Amortissement'!$AG$5:$AG$104,'4-Amortissement'!$S$5:$S$104,'5-Tx forf personnel+autoconst'!B8)</f>
        <v>0</v>
      </c>
      <c r="J8" s="158">
        <f t="shared" ref="J8:J14" si="6">IFERROR(0.2*I8,"")</f>
        <v>0</v>
      </c>
      <c r="K8" s="975"/>
      <c r="L8" s="274" t="str">
        <f t="shared" si="5"/>
        <v/>
      </c>
      <c r="M8" s="7"/>
      <c r="N8" s="23" t="str" cm="1">
        <f t="array" ref="N8">IF(OR(L8="",F8=""),"",_xlfn.IFS(
ROUND(IFERROR(VALUE(TRIM(SUBSTITUTE(L8,CHAR(160),""))),0),2)&gt;
ROUND(IFERROR(VALUE(TRIM(SUBSTITUTE(F8,CHAR(160),""))),0),2),
"KO : Le montant retenu est supérieur au montant présenté.",
ROUND(IFERROR(VALUE(TRIM(SUBSTITUTE(F8,CHAR(160),""))),0),2)=0,
"",
ROUND(IFERROR(VALUE(TRIM(SUBSTITUTE(L8,CHAR(160),""))),0),2)=
ROUND(IFERROR(VALUE(TRIM(SUBSTITUTE(F8,CHAR(160),""))),0),2),
"OK",
ROUND(IFERROR(VALUE(TRIM(SUBSTITUTE(L8,CHAR(160),""))),0),2)=0,
"Attention : Montant présenté entièrement rejeté.",
ROUND(IFERROR(VALUE(TRIM(SUBSTITUTE(L8,CHAR(160),""))),0),2)&lt;
ROUND(IFERROR(VALUE(TRIM(SUBSTITUTE(F8,CHAR(160),""))),0),2),
"Attention : Montant présenté partiellement rejeté.",
TRUE,""
))</f>
        <v/>
      </c>
      <c r="O8" s="32">
        <f t="shared" si="2"/>
        <v>0</v>
      </c>
    </row>
    <row r="9" spans="1:15" s="3" customFormat="1" ht="65.25" customHeight="1">
      <c r="A9" s="27">
        <v>4</v>
      </c>
      <c r="B9" s="24" t="s">
        <v>32</v>
      </c>
      <c r="C9" s="270">
        <f>SUMIFS('1-Investissements'!$AD$9:$AD$108,'1-Investissements'!$E$9:$E$108,'5-Tx forf personnel+autoconst'!B9,'1-Investissements'!$H$9:$H$108,"&lt;&gt;Oui")+SUMIFS('2-Frais généraux'!$AB$5:$AB$104,'2-Frais généraux'!$D$5:$D$104,'5-Tx forf personnel+autoconst'!B9,'2-Frais généraux'!$H$5:$H$104,"&lt;&gt;Oui")+SUMIFS('3-Contributions en nature'!$I$5:$I$104,'3-Contributions en nature'!$C$5:$C$104,'5-Tx forf personnel+autoconst'!B9)+SUMIFS('4-Amortissement'!$O$5:$O$104,'4-Amortissement'!$C$5:$C$104,'5-Tx forf personnel+autoconst'!B9)</f>
        <v>0</v>
      </c>
      <c r="D9" s="157">
        <f t="shared" si="3"/>
        <v>0</v>
      </c>
      <c r="E9" s="972"/>
      <c r="F9" s="278" t="str">
        <f t="shared" si="4"/>
        <v/>
      </c>
      <c r="G9" s="192"/>
      <c r="H9" s="271" t="str">
        <f t="shared" si="1"/>
        <v>Irrigation</v>
      </c>
      <c r="I9" s="158">
        <f>SUMIFS('1-Investissements'!$BL$9:$BL$108,'1-Investissements'!$AI$9:$AI$108,'5-Tx forf personnel+autoconst'!H9,'1-Investissements'!$AL$9:$AL$108,"&lt;&gt;Oui")+SUMIFS('2-Frais généraux'!$BH$5:$BH$104,'2-Frais généraux'!$AF$5:$AF$104,'5-Tx forf personnel+autoconst'!B9,'2-Frais généraux'!$AJ$5:$AJ$104,"&lt;&gt;Oui")+SUMIFS('3-Contributions en nature'!$S$5:$S$104,'3-Contributions en nature'!$L$5:$L$104,'5-Tx forf personnel+autoconst'!B9)+SUMIFS('4-Amortissement'!$AG$5:$AG$104,'4-Amortissement'!$S$5:$S$104,'5-Tx forf personnel+autoconst'!B9)</f>
        <v>0</v>
      </c>
      <c r="J9" s="158">
        <f t="shared" si="6"/>
        <v>0</v>
      </c>
      <c r="K9" s="975"/>
      <c r="L9" s="274" t="str">
        <f t="shared" si="5"/>
        <v/>
      </c>
      <c r="M9" s="7"/>
      <c r="N9" s="23" t="str" cm="1">
        <f t="array" ref="N9">IF(OR(L9="",F9=""),"",_xlfn.IFS(
ROUND(IFERROR(VALUE(TRIM(SUBSTITUTE(L9,CHAR(160),""))),0),2)&gt;
ROUND(IFERROR(VALUE(TRIM(SUBSTITUTE(F9,CHAR(160),""))),0),2),
"KO : Le montant retenu est supérieur au montant présenté.",
ROUND(IFERROR(VALUE(TRIM(SUBSTITUTE(F9,CHAR(160),""))),0),2)=0,
"",
ROUND(IFERROR(VALUE(TRIM(SUBSTITUTE(L9,CHAR(160),""))),0),2)=
ROUND(IFERROR(VALUE(TRIM(SUBSTITUTE(F9,CHAR(160),""))),0),2),
"OK",
ROUND(IFERROR(VALUE(TRIM(SUBSTITUTE(L9,CHAR(160),""))),0),2)=0,
"Attention : Montant présenté entièrement rejeté.",
ROUND(IFERROR(VALUE(TRIM(SUBSTITUTE(L9,CHAR(160),""))),0),2)&lt;
ROUND(IFERROR(VALUE(TRIM(SUBSTITUTE(F9,CHAR(160),""))),0),2),
"Attention : Montant présenté partiellement rejeté.",
TRUE,""
))</f>
        <v/>
      </c>
      <c r="O9" s="32">
        <f t="shared" si="2"/>
        <v>0</v>
      </c>
    </row>
    <row r="10" spans="1:15" s="3" customFormat="1" ht="65.25" customHeight="1">
      <c r="A10" s="27">
        <v>5</v>
      </c>
      <c r="B10" s="24" t="s">
        <v>33</v>
      </c>
      <c r="C10" s="270">
        <f>SUMIFS('1-Investissements'!$AD$9:$AD$108,'1-Investissements'!$E$9:$E$108,'5-Tx forf personnel+autoconst'!B10,'1-Investissements'!$H$9:$H$108,"&lt;&gt;Oui")+SUMIFS('2-Frais généraux'!$AB$5:$AB$104,'2-Frais généraux'!$D$5:$D$104,'5-Tx forf personnel+autoconst'!B10,'2-Frais généraux'!$H$5:$H$104,"&lt;&gt;Oui")+SUMIFS('3-Contributions en nature'!$I$5:$I$104,'3-Contributions en nature'!$C$5:$C$104,'5-Tx forf personnel+autoconst'!B10)+SUMIFS('4-Amortissement'!$O$5:$O$104,'4-Amortissement'!$C$5:$C$104,'5-Tx forf personnel+autoconst'!B10)</f>
        <v>0</v>
      </c>
      <c r="D10" s="157">
        <f t="shared" si="3"/>
        <v>0</v>
      </c>
      <c r="E10" s="972"/>
      <c r="F10" s="278" t="str">
        <f t="shared" si="4"/>
        <v/>
      </c>
      <c r="G10" s="192"/>
      <c r="H10" s="271" t="str">
        <f t="shared" si="1"/>
        <v>Performance énergétique</v>
      </c>
      <c r="I10" s="158">
        <f>SUMIFS('1-Investissements'!$BL$9:$BL$108,'1-Investissements'!$AI$9:$AI$108,'5-Tx forf personnel+autoconst'!H10,'1-Investissements'!$AL$9:$AL$108,"&lt;&gt;Oui")+SUMIFS('2-Frais généraux'!$BH$5:$BH$104,'2-Frais généraux'!$AF$5:$AF$104,'5-Tx forf personnel+autoconst'!B10,'2-Frais généraux'!$AJ$5:$AJ$104,"&lt;&gt;Oui")+SUMIFS('3-Contributions en nature'!$S$5:$S$104,'3-Contributions en nature'!$L$5:$L$104,'5-Tx forf personnel+autoconst'!B10)+SUMIFS('4-Amortissement'!$AG$5:$AG$104,'4-Amortissement'!$S$5:$S$104,'5-Tx forf personnel+autoconst'!B10)</f>
        <v>0</v>
      </c>
      <c r="J10" s="158">
        <f t="shared" si="6"/>
        <v>0</v>
      </c>
      <c r="K10" s="975"/>
      <c r="L10" s="274" t="str">
        <f t="shared" si="5"/>
        <v/>
      </c>
      <c r="M10" s="7"/>
      <c r="N10" s="23" t="str" cm="1">
        <f t="array" ref="N10">IF(OR(L10="",F10=""),"",_xlfn.IFS(
ROUND(IFERROR(VALUE(TRIM(SUBSTITUTE(L10,CHAR(160),""))),0),2)&gt;
ROUND(IFERROR(VALUE(TRIM(SUBSTITUTE(F10,CHAR(160),""))),0),2),
"KO : Le montant retenu est supérieur au montant présenté.",
ROUND(IFERROR(VALUE(TRIM(SUBSTITUTE(F10,CHAR(160),""))),0),2)=0,
"",
ROUND(IFERROR(VALUE(TRIM(SUBSTITUTE(L10,CHAR(160),""))),0),2)=
ROUND(IFERROR(VALUE(TRIM(SUBSTITUTE(F10,CHAR(160),""))),0),2),
"OK",
ROUND(IFERROR(VALUE(TRIM(SUBSTITUTE(L10,CHAR(160),""))),0),2)=0,
"Attention : Montant présenté entièrement rejeté.",
ROUND(IFERROR(VALUE(TRIM(SUBSTITUTE(L10,CHAR(160),""))),0),2)&lt;
ROUND(IFERROR(VALUE(TRIM(SUBSTITUTE(F10,CHAR(160),""))),0),2),
"Attention : Montant présenté partiellement rejeté.",
TRUE,""
))</f>
        <v/>
      </c>
      <c r="O10" s="32">
        <f t="shared" si="2"/>
        <v>0</v>
      </c>
    </row>
    <row r="11" spans="1:15" s="3" customFormat="1" ht="65.25" customHeight="1">
      <c r="A11" s="27">
        <v>6</v>
      </c>
      <c r="B11" s="24" t="s">
        <v>35</v>
      </c>
      <c r="C11" s="270">
        <f>SUMIFS('1-Investissements'!$AD$9:$AD$108,'1-Investissements'!$E$9:$E$108,'5-Tx forf personnel+autoconst'!B11,'1-Investissements'!$H$9:$H$108,"&lt;&gt;Oui")+SUMIFS('2-Frais généraux'!$AB$5:$AB$104,'2-Frais généraux'!$D$5:$D$104,'5-Tx forf personnel+autoconst'!B11,'2-Frais généraux'!$H$5:$H$104,"&lt;&gt;Oui")+SUMIFS('3-Contributions en nature'!$I$5:$I$104,'3-Contributions en nature'!$C$5:$C$104,'5-Tx forf personnel+autoconst'!B11)+SUMIFS('4-Amortissement'!$O$5:$O$104,'4-Amortissement'!$C$5:$C$104,'5-Tx forf personnel+autoconst'!B11)</f>
        <v>0</v>
      </c>
      <c r="D11" s="157">
        <f t="shared" si="3"/>
        <v>0</v>
      </c>
      <c r="E11" s="972"/>
      <c r="F11" s="278" t="str">
        <f t="shared" si="4"/>
        <v/>
      </c>
      <c r="G11" s="192"/>
      <c r="H11" s="271" t="str">
        <f t="shared" si="1"/>
        <v>Transformation / Commercialisation</v>
      </c>
      <c r="I11" s="158">
        <f>SUMIFS('1-Investissements'!$BL$9:$BL$108,'1-Investissements'!$AI$9:$AI$108,'5-Tx forf personnel+autoconst'!H11,'1-Investissements'!$AL$9:$AL$108,"&lt;&gt;Oui")+SUMIFS('2-Frais généraux'!$BH$5:$BH$104,'2-Frais généraux'!$AF$5:$AF$104,'5-Tx forf personnel+autoconst'!B11,'2-Frais généraux'!$AJ$5:$AJ$104,"&lt;&gt;Oui")+SUMIFS('3-Contributions en nature'!$S$5:$S$104,'3-Contributions en nature'!$L$5:$L$104,'5-Tx forf personnel+autoconst'!B11)+SUMIFS('4-Amortissement'!$AG$5:$AG$104,'4-Amortissement'!$S$5:$S$104,'5-Tx forf personnel+autoconst'!B11)</f>
        <v>0</v>
      </c>
      <c r="J11" s="158">
        <f t="shared" si="6"/>
        <v>0</v>
      </c>
      <c r="K11" s="975"/>
      <c r="L11" s="274" t="str">
        <f t="shared" si="5"/>
        <v/>
      </c>
      <c r="M11" s="7"/>
      <c r="N11" s="23" t="str" cm="1">
        <f t="array" ref="N11">IF(OR(L11="",F11=""),"",_xlfn.IFS(
ROUND(IFERROR(VALUE(TRIM(SUBSTITUTE(L11,CHAR(160),""))),0),2)&gt;
ROUND(IFERROR(VALUE(TRIM(SUBSTITUTE(F11,CHAR(160),""))),0),2),
"KO : Le montant retenu est supérieur au montant présenté.",
ROUND(IFERROR(VALUE(TRIM(SUBSTITUTE(F11,CHAR(160),""))),0),2)=0,
"",
ROUND(IFERROR(VALUE(TRIM(SUBSTITUTE(L11,CHAR(160),""))),0),2)=
ROUND(IFERROR(VALUE(TRIM(SUBSTITUTE(F11,CHAR(160),""))),0),2),
"OK",
ROUND(IFERROR(VALUE(TRIM(SUBSTITUTE(L11,CHAR(160),""))),0),2)=0,
"Attention : Montant présenté entièrement rejeté.",
ROUND(IFERROR(VALUE(TRIM(SUBSTITUTE(L11,CHAR(160),""))),0),2)&lt;
ROUND(IFERROR(VALUE(TRIM(SUBSTITUTE(F11,CHAR(160),""))),0),2),
"Attention : Montant présenté partiellement rejeté.",
TRUE,""
))</f>
        <v/>
      </c>
      <c r="O11" s="32">
        <f t="shared" si="2"/>
        <v>0</v>
      </c>
    </row>
    <row r="12" spans="1:15" s="3" customFormat="1" ht="65.25" customHeight="1">
      <c r="A12" s="27">
        <v>7</v>
      </c>
      <c r="B12" s="24" t="s">
        <v>36</v>
      </c>
      <c r="C12" s="270">
        <f>SUMIFS('1-Investissements'!$AD$9:$AD$108,'1-Investissements'!$E$9:$E$108,'5-Tx forf personnel+autoconst'!B12,'1-Investissements'!$H$9:$H$108,"&lt;&gt;Oui")+SUMIFS('2-Frais généraux'!$AB$5:$AB$104,'2-Frais généraux'!$D$5:$D$104,'5-Tx forf personnel+autoconst'!B12,'2-Frais généraux'!$H$5:$H$104,"&lt;&gt;Oui")+SUMIFS('3-Contributions en nature'!$I$5:$I$104,'3-Contributions en nature'!$C$5:$C$104,'5-Tx forf personnel+autoconst'!B12)+SUMIFS('4-Amortissement'!$O$5:$O$104,'4-Amortissement'!$C$5:$C$104,'5-Tx forf personnel+autoconst'!B12)</f>
        <v>0</v>
      </c>
      <c r="D12" s="157">
        <f t="shared" si="3"/>
        <v>0</v>
      </c>
      <c r="E12" s="972"/>
      <c r="F12" s="278" t="str">
        <f t="shared" si="4"/>
        <v/>
      </c>
      <c r="G12" s="192"/>
      <c r="H12" s="271" t="str">
        <f t="shared" si="1"/>
        <v>Amélioration foncière</v>
      </c>
      <c r="I12" s="158">
        <f>SUMIFS('1-Investissements'!$BL$9:$BL$108,'1-Investissements'!$AI$9:$AI$108,'5-Tx forf personnel+autoconst'!H12,'1-Investissements'!$AL$9:$AL$108,"&lt;&gt;Oui")+SUMIFS('2-Frais généraux'!$BH$5:$BH$104,'2-Frais généraux'!$AF$5:$AF$104,'5-Tx forf personnel+autoconst'!B12,'2-Frais généraux'!$AJ$5:$AJ$104,"&lt;&gt;Oui")+SUMIFS('3-Contributions en nature'!$S$5:$S$104,'3-Contributions en nature'!$L$5:$L$104,'5-Tx forf personnel+autoconst'!B12)+SUMIFS('4-Amortissement'!$AG$5:$AG$104,'4-Amortissement'!$S$5:$S$104,'5-Tx forf personnel+autoconst'!B12)</f>
        <v>0</v>
      </c>
      <c r="J12" s="158">
        <f t="shared" si="6"/>
        <v>0</v>
      </c>
      <c r="K12" s="975"/>
      <c r="L12" s="274" t="str">
        <f t="shared" si="5"/>
        <v/>
      </c>
      <c r="M12" s="7"/>
      <c r="N12" s="23" t="str" cm="1">
        <f t="array" ref="N12">IF(OR(L12="",F12=""),"",_xlfn.IFS(
ROUND(IFERROR(VALUE(TRIM(SUBSTITUTE(L12,CHAR(160),""))),0),2)&gt;
ROUND(IFERROR(VALUE(TRIM(SUBSTITUTE(F12,CHAR(160),""))),0),2),
"KO : Le montant retenu est supérieur au montant présenté.",
ROUND(IFERROR(VALUE(TRIM(SUBSTITUTE(F12,CHAR(160),""))),0),2)=0,
"",
ROUND(IFERROR(VALUE(TRIM(SUBSTITUTE(L12,CHAR(160),""))),0),2)=
ROUND(IFERROR(VALUE(TRIM(SUBSTITUTE(F12,CHAR(160),""))),0),2),
"OK",
ROUND(IFERROR(VALUE(TRIM(SUBSTITUTE(L12,CHAR(160),""))),0),2)=0,
"Attention : Montant présenté entièrement rejeté.",
ROUND(IFERROR(VALUE(TRIM(SUBSTITUTE(L12,CHAR(160),""))),0),2)&lt;
ROUND(IFERROR(VALUE(TRIM(SUBSTITUTE(F12,CHAR(160),""))),0),2),
"Attention : Montant présenté partiellement rejeté.",
TRUE,""
))</f>
        <v/>
      </c>
      <c r="O12" s="32">
        <f t="shared" si="2"/>
        <v>0</v>
      </c>
    </row>
    <row r="13" spans="1:15" s="3" customFormat="1" ht="65.25" customHeight="1">
      <c r="A13" s="27">
        <v>8</v>
      </c>
      <c r="B13" s="24" t="s">
        <v>226</v>
      </c>
      <c r="C13" s="270">
        <f>SUMIFS('1-Investissements'!$AD$9:$AD$108,'1-Investissements'!$E$9:$E$108,'5-Tx forf personnel+autoconst'!B13,'1-Investissements'!$H$9:$H$108,"&lt;&gt;Oui")+SUMIFS('2-Frais généraux'!$AB$5:$AB$104,'2-Frais généraux'!$D$5:$D$104,'5-Tx forf personnel+autoconst'!B13,'2-Frais généraux'!$H$5:$H$104,"&lt;&gt;Oui")+SUMIFS('3-Contributions en nature'!$I$5:$I$104,'3-Contributions en nature'!$C$5:$C$104,'5-Tx forf personnel+autoconst'!B13)+SUMIFS('4-Amortissement'!$O$5:$O$104,'4-Amortissement'!$C$5:$C$104,'5-Tx forf personnel+autoconst'!B13)</f>
        <v>0</v>
      </c>
      <c r="D13" s="157">
        <f t="shared" si="3"/>
        <v>0</v>
      </c>
      <c r="E13" s="972"/>
      <c r="F13" s="278" t="str">
        <f t="shared" si="4"/>
        <v/>
      </c>
      <c r="G13" s="192"/>
      <c r="H13" s="271" t="str">
        <f t="shared" si="1"/>
        <v>Diversification des activités - gîtes</v>
      </c>
      <c r="I13" s="158">
        <f>SUMIFS('1-Investissements'!$BL$9:$BL$108,'1-Investissements'!$AI$9:$AI$108,'5-Tx forf personnel+autoconst'!H13,'1-Investissements'!$AL$9:$AL$108,"&lt;&gt;Oui")+SUMIFS('2-Frais généraux'!$BH$5:$BH$104,'2-Frais généraux'!$AF$5:$AF$104,'5-Tx forf personnel+autoconst'!B13,'2-Frais généraux'!$AJ$5:$AJ$104,"&lt;&gt;Oui")+SUMIFS('3-Contributions en nature'!$S$5:$S$104,'3-Contributions en nature'!$L$5:$L$104,'5-Tx forf personnel+autoconst'!B13)+SUMIFS('4-Amortissement'!$AG$5:$AG$104,'4-Amortissement'!$S$5:$S$104,'5-Tx forf personnel+autoconst'!B13)</f>
        <v>0</v>
      </c>
      <c r="J13" s="158">
        <f t="shared" si="6"/>
        <v>0</v>
      </c>
      <c r="K13" s="975"/>
      <c r="L13" s="274" t="str">
        <f t="shared" si="5"/>
        <v/>
      </c>
      <c r="M13" s="7"/>
      <c r="N13" s="23" t="str" cm="1">
        <f t="array" ref="N13">IF(OR(L13="",F13=""),"",_xlfn.IFS(
ROUND(IFERROR(VALUE(TRIM(SUBSTITUTE(L13,CHAR(160),""))),0),2)&gt;
ROUND(IFERROR(VALUE(TRIM(SUBSTITUTE(F13,CHAR(160),""))),0),2),
"KO : Le montant retenu est supérieur au montant présenté.",
ROUND(IFERROR(VALUE(TRIM(SUBSTITUTE(F13,CHAR(160),""))),0),2)=0,
"",
ROUND(IFERROR(VALUE(TRIM(SUBSTITUTE(L13,CHAR(160),""))),0),2)=
ROUND(IFERROR(VALUE(TRIM(SUBSTITUTE(F13,CHAR(160),""))),0),2),
"OK",
ROUND(IFERROR(VALUE(TRIM(SUBSTITUTE(L13,CHAR(160),""))),0),2)=0,
"Attention : Montant présenté entièrement rejeté.",
ROUND(IFERROR(VALUE(TRIM(SUBSTITUTE(L13,CHAR(160),""))),0),2)&lt;
ROUND(IFERROR(VALUE(TRIM(SUBSTITUTE(F13,CHAR(160),""))),0),2),
"Attention : Montant présenté partiellement rejeté.",
TRUE,""
))</f>
        <v/>
      </c>
      <c r="O13" s="32">
        <f t="shared" si="2"/>
        <v>0</v>
      </c>
    </row>
    <row r="14" spans="1:15" s="3" customFormat="1" ht="65.25" customHeight="1">
      <c r="A14" s="27">
        <v>9</v>
      </c>
      <c r="B14" s="24" t="s">
        <v>227</v>
      </c>
      <c r="C14" s="270">
        <f>SUMIFS('1-Investissements'!$AD$9:$AD$108,'1-Investissements'!$E$9:$E$108,'5-Tx forf personnel+autoconst'!B14,'1-Investissements'!$H$9:$H$108,"&lt;&gt;Oui")+SUMIFS('2-Frais généraux'!$AB$5:$AB$104,'2-Frais généraux'!$D$5:$D$104,'5-Tx forf personnel+autoconst'!B14,'2-Frais généraux'!$H$5:$H$104,"&lt;&gt;Oui")+SUMIFS('3-Contributions en nature'!$I$5:$I$104,'3-Contributions en nature'!$C$5:$C$104,'5-Tx forf personnel+autoconst'!B14)+SUMIFS('4-Amortissement'!$O$5:$O$104,'4-Amortissement'!$C$5:$C$104,'5-Tx forf personnel+autoconst'!B14)</f>
        <v>0</v>
      </c>
      <c r="D14" s="157">
        <f t="shared" si="3"/>
        <v>0</v>
      </c>
      <c r="E14" s="973"/>
      <c r="F14" s="278" t="str">
        <f t="shared" si="4"/>
        <v/>
      </c>
      <c r="G14" s="192"/>
      <c r="H14" s="271" t="str">
        <f t="shared" si="1"/>
        <v>Diversification des activités - hors gîtes</v>
      </c>
      <c r="I14" s="158">
        <f>SUMIFS('1-Investissements'!$BL$9:$BL$108,'1-Investissements'!$AI$9:$AI$108,'5-Tx forf personnel+autoconst'!H14,'1-Investissements'!$AL$9:$AL$108,"&lt;&gt;Oui")+SUMIFS('2-Frais généraux'!$BH$5:$BH$104,'2-Frais généraux'!$AF$5:$AF$104,'5-Tx forf personnel+autoconst'!B14,'2-Frais généraux'!$AJ$5:$AJ$104,"&lt;&gt;Oui")+SUMIFS('3-Contributions en nature'!$S$5:$S$104,'3-Contributions en nature'!$L$5:$L$104,'5-Tx forf personnel+autoconst'!B14)+SUMIFS('4-Amortissement'!$AG$5:$AG$104,'4-Amortissement'!$S$5:$S$104,'5-Tx forf personnel+autoconst'!B14)</f>
        <v>0</v>
      </c>
      <c r="J14" s="158">
        <f t="shared" si="6"/>
        <v>0</v>
      </c>
      <c r="K14" s="976"/>
      <c r="L14" s="274" t="str">
        <f t="shared" si="5"/>
        <v/>
      </c>
      <c r="M14" s="7"/>
      <c r="N14" s="23" t="str" cm="1">
        <f t="array" ref="N14">IF(OR(L14="",F14=""),"",_xlfn.IFS(
ROUND(IFERROR(VALUE(TRIM(SUBSTITUTE(L14,CHAR(160),""))),0),2)&gt;
ROUND(IFERROR(VALUE(TRIM(SUBSTITUTE(F14,CHAR(160),""))),0),2),
"KO : Le montant retenu est supérieur au montant présenté.",
ROUND(IFERROR(VALUE(TRIM(SUBSTITUTE(F14,CHAR(160),""))),0),2)=0,
"",
ROUND(IFERROR(VALUE(TRIM(SUBSTITUTE(L14,CHAR(160),""))),0),2)=
ROUND(IFERROR(VALUE(TRIM(SUBSTITUTE(F14,CHAR(160),""))),0),2),
"OK",
ROUND(IFERROR(VALUE(TRIM(SUBSTITUTE(L14,CHAR(160),""))),0),2)=0,
"Attention : Montant présenté entièrement rejeté.",
ROUND(IFERROR(VALUE(TRIM(SUBSTITUTE(L14,CHAR(160),""))),0),2)&lt;
ROUND(IFERROR(VALUE(TRIM(SUBSTITUTE(F14,CHAR(160),""))),0),2),
"Attention : Montant présenté partiellement rejeté.",
TRUE,""
))</f>
        <v/>
      </c>
      <c r="O14" s="32">
        <f t="shared" si="2"/>
        <v>0</v>
      </c>
    </row>
    <row r="15" spans="1:15" ht="15.95" thickBot="1">
      <c r="A15" s="185"/>
      <c r="B15" s="186"/>
      <c r="C15" s="187"/>
      <c r="D15" s="187"/>
      <c r="E15" s="187"/>
      <c r="F15" s="187">
        <f>SUM(F6:F14)</f>
        <v>0</v>
      </c>
      <c r="G15" s="188"/>
      <c r="H15" s="159"/>
      <c r="I15" s="160"/>
      <c r="J15" s="160"/>
      <c r="K15" s="160"/>
      <c r="L15" s="160">
        <f>SUM(L6:L14)</f>
        <v>0</v>
      </c>
      <c r="M15" s="159"/>
      <c r="N15" s="159"/>
      <c r="O15" s="160">
        <f>SUM(O6:O14)</f>
        <v>0</v>
      </c>
    </row>
  </sheetData>
  <sheetProtection formatCells="0" formatColumns="0" formatRows="0" insertRows="0"/>
  <mergeCells count="7">
    <mergeCell ref="E6:E14"/>
    <mergeCell ref="K6:K14"/>
    <mergeCell ref="H2:O2"/>
    <mergeCell ref="H1:O1"/>
    <mergeCell ref="A3:A4"/>
    <mergeCell ref="A1:G1"/>
    <mergeCell ref="A2:G2"/>
  </mergeCells>
  <conditionalFormatting sqref="H6:L6 H7:J14 L7:L14">
    <cfRule type="expression" dxfId="42" priority="1">
      <formula>H6&lt;&gt;B6</formula>
    </cfRule>
  </conditionalFormatting>
  <conditionalFormatting sqref="N5:N14">
    <cfRule type="containsText" dxfId="41" priority="4" operator="containsText" text="OK">
      <formula>NOT(ISERROR(SEARCH("OK",N5)))</formula>
    </cfRule>
    <cfRule type="containsText" dxfId="40" priority="5" operator="containsText" text="KO">
      <formula>NOT(ISERROR(SEARCH("KO",N5)))</formula>
    </cfRule>
    <cfRule type="containsText" dxfId="39" priority="6" operator="containsText" text="Attention">
      <formula>NOT(ISERROR(SEARCH("Attention",N5)))</formula>
    </cfRule>
  </conditionalFormatting>
  <dataValidations count="2">
    <dataValidation allowBlank="1" showErrorMessage="1" promptTitle="Sélectionnez un type d'action" sqref="D5 J5 L5 H5" xr:uid="{4FC2848F-23CD-498F-A8FB-170DF6803FBC}"/>
    <dataValidation type="list" allowBlank="1" showErrorMessage="1" promptTitle="Sélectionnez un type d'action" sqref="E5:E6 K5:K6" xr:uid="{5C78CCEF-4209-48ED-BA20-E39CC1AD8165}">
      <formula1>"Oui,Non"</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C18AF7B2-5857-42FE-9ACE-2CC5167A5DF9}">
          <x14:formula1>
            <xm:f>'0-Présentation typeaction'!$H$4:$H$12</xm:f>
          </x14:formula1>
          <xm:sqref>B5:B14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5F148-CA8B-46E6-9675-F52B9303BF49}">
  <sheetPr>
    <pageSetUpPr fitToPage="1"/>
  </sheetPr>
  <dimension ref="A1:M25"/>
  <sheetViews>
    <sheetView showGridLines="0" zoomScale="50" zoomScaleNormal="38" workbookViewId="0">
      <selection activeCell="I48" sqref="I48"/>
    </sheetView>
  </sheetViews>
  <sheetFormatPr defaultColWidth="11.42578125" defaultRowHeight="15" outlineLevelCol="1"/>
  <cols>
    <col min="1" max="1" width="18" bestFit="1" customWidth="1"/>
    <col min="2" max="2" width="40.42578125" style="151" customWidth="1"/>
    <col min="3" max="3" width="25.42578125" style="151" customWidth="1"/>
    <col min="4" max="4" width="19.42578125" bestFit="1" customWidth="1"/>
    <col min="5" max="5" width="37.42578125" customWidth="1"/>
    <col min="6" max="6" width="37.42578125" bestFit="1" customWidth="1"/>
    <col min="7" max="7" width="28.85546875" customWidth="1" outlineLevel="1"/>
    <col min="8" max="8" width="21.140625" customWidth="1" outlineLevel="1"/>
    <col min="9" max="9" width="28.42578125" customWidth="1" outlineLevel="1"/>
    <col min="10" max="10" width="35.85546875" customWidth="1" outlineLevel="1"/>
    <col min="11" max="11" width="79.85546875" customWidth="1" outlineLevel="1"/>
    <col min="12" max="12" width="55.140625" customWidth="1" outlineLevel="1"/>
    <col min="13" max="13" width="19.85546875" customWidth="1" outlineLevel="1"/>
  </cols>
  <sheetData>
    <row r="1" spans="1:13" ht="70.5" customHeight="1" thickBot="1">
      <c r="A1" s="985" t="s">
        <v>228</v>
      </c>
      <c r="B1" s="986"/>
      <c r="C1" s="986"/>
      <c r="D1" s="986"/>
      <c r="E1" s="986"/>
      <c r="F1" s="987"/>
      <c r="G1" s="962" t="s">
        <v>229</v>
      </c>
      <c r="H1" s="963"/>
      <c r="I1" s="963"/>
      <c r="J1" s="963"/>
      <c r="K1" s="963"/>
      <c r="L1" s="963"/>
      <c r="M1" s="964"/>
    </row>
    <row r="2" spans="1:13" s="1" customFormat="1" ht="46.5" customHeight="1">
      <c r="A2" s="988" t="s">
        <v>230</v>
      </c>
      <c r="B2" s="296" t="s">
        <v>55</v>
      </c>
      <c r="C2" s="295" t="s">
        <v>231</v>
      </c>
      <c r="D2" s="295" t="s">
        <v>232</v>
      </c>
      <c r="E2" s="295" t="s">
        <v>233</v>
      </c>
      <c r="F2" s="294" t="s">
        <v>234</v>
      </c>
      <c r="G2" s="297" t="s">
        <v>55</v>
      </c>
      <c r="H2" s="291" t="s">
        <v>231</v>
      </c>
      <c r="I2" s="291" t="s">
        <v>232</v>
      </c>
      <c r="J2" s="291" t="s">
        <v>235</v>
      </c>
      <c r="K2" s="293" t="s">
        <v>91</v>
      </c>
      <c r="L2" s="291" t="s">
        <v>93</v>
      </c>
      <c r="M2" s="292" t="s">
        <v>165</v>
      </c>
    </row>
    <row r="3" spans="1:13" s="1" customFormat="1" ht="184.5" customHeight="1">
      <c r="A3" s="912"/>
      <c r="B3" s="273" t="s">
        <v>100</v>
      </c>
      <c r="C3" s="22" t="s">
        <v>236</v>
      </c>
      <c r="D3" s="22" t="s">
        <v>237</v>
      </c>
      <c r="E3" s="22" t="s">
        <v>238</v>
      </c>
      <c r="F3" s="172" t="s">
        <v>117</v>
      </c>
      <c r="G3" s="226" t="s">
        <v>121</v>
      </c>
      <c r="H3" s="4" t="s">
        <v>121</v>
      </c>
      <c r="I3" s="4" t="s">
        <v>121</v>
      </c>
      <c r="J3" s="4" t="s">
        <v>239</v>
      </c>
      <c r="K3" s="4" t="s">
        <v>175</v>
      </c>
      <c r="L3" s="4" t="s">
        <v>125</v>
      </c>
      <c r="M3" s="212" t="s">
        <v>116</v>
      </c>
    </row>
    <row r="4" spans="1:13" s="1" customFormat="1" ht="30" customHeight="1">
      <c r="A4" s="173" t="s">
        <v>41</v>
      </c>
      <c r="B4" s="137" t="s">
        <v>30</v>
      </c>
      <c r="C4" s="137">
        <v>1</v>
      </c>
      <c r="D4" s="304" t="s">
        <v>136</v>
      </c>
      <c r="E4" s="228">
        <f>IF(C4="","",IF(D4="OUI",10400*C4,8600*C4))</f>
        <v>10400</v>
      </c>
      <c r="F4" s="174"/>
      <c r="G4" s="227" t="str">
        <f t="shared" ref="G4:G5" si="0">IF(B4="","",B4)</f>
        <v>Plantations pérennes</v>
      </c>
      <c r="H4" s="137">
        <f t="shared" ref="H4:I4" si="1">IF(C4="","",C4)</f>
        <v>1</v>
      </c>
      <c r="I4" s="137" t="str">
        <f t="shared" si="1"/>
        <v>OUI</v>
      </c>
      <c r="J4" s="305">
        <f>IF(H4="","",IF(I4="OUI",10400*H4,8600*H4))</f>
        <v>10400</v>
      </c>
      <c r="K4" s="137"/>
      <c r="L4" s="23" t="str" cm="1">
        <f t="array" ref="L4">IF(OR(J4="",E4=""),"",_xlfn.IFS(
ROUND(IFERROR(VALUE(TRIM(SUBSTITUTE(J4,CHAR(160),""))),0),2)&gt;
ROUND(IFERROR(VALUE(TRIM(SUBSTITUTE(E4,CHAR(160),""))),0),2),
"KO : Le montant retenu est supérieur au montant présenté. Merci de revoir la ligne de contributions ou plafonner son montant.",
ROUND(IFERROR(VALUE(TRIM(SUBSTITUTE(E4,CHAR(160),""))),0),2)=0,
"",
ROUND(IFERROR(VALUE(TRIM(SUBSTITUTE(J4,CHAR(160),""))),0),2)=
ROUND(IFERROR(VALUE(TRIM(SUBSTITUTE(E4,CHAR(160),""))),0),2),
"OK",
ROUND(IFERROR(VALUE(TRIM(SUBSTITUTE(J4,CHAR(160),""))),0),2)=0,
"Attention : Montant présenté entièrement rejeté.",
ROUND(IFERROR(VALUE(TRIM(SUBSTITUTE(J4,CHAR(160),""))),0),2)&lt;
ROUND(IFERROR(VALUE(TRIM(SUBSTITUTE(E4,CHAR(160),""))),0),2),
"Attention : Montant présenté partiellement rejeté.",
TRUE,""
))</f>
        <v>OK</v>
      </c>
      <c r="M4" s="309">
        <f>IF(OR(E4="",J4=""),"",IFERROR(VALUE(TRIM(SUBSTITUTE(E4,CHAR(160),""))),0)-IFERROR(VALUE(TRIM(SUBSTITUTE(J4,CHAR(160),""))),0))</f>
        <v>0</v>
      </c>
    </row>
    <row r="5" spans="1:13" s="1" customFormat="1" ht="20.45" customHeight="1">
      <c r="A5" s="175">
        <v>1</v>
      </c>
      <c r="B5" s="7"/>
      <c r="C5" s="7"/>
      <c r="D5" s="38"/>
      <c r="E5" s="276" t="str">
        <f>IF(C5="","",IF(D5="OUI",10400*C5,8600*C5))</f>
        <v/>
      </c>
      <c r="F5" s="176"/>
      <c r="G5" s="223" t="str">
        <f t="shared" si="0"/>
        <v/>
      </c>
      <c r="H5" s="224" t="str">
        <f t="shared" ref="H5" si="2">IF(C5="","",C5)</f>
        <v/>
      </c>
      <c r="I5" s="170" t="str">
        <f t="shared" ref="I5" si="3">IF(D5="","",D5)</f>
        <v/>
      </c>
      <c r="J5" s="303" t="str">
        <f t="shared" ref="J5" si="4">IF(H5="","",IF(I5="OUI",10400*H5,8600*H5))</f>
        <v/>
      </c>
      <c r="K5" s="38"/>
      <c r="L5" s="23" t="str" cm="1">
        <f t="array" ref="L5">IF(OR(J5="",E5=""),"",_xlfn.IFS(
ROUND(IFERROR(VALUE(TRIM(SUBSTITUTE(J5,CHAR(160),""))),0),2)&gt;
ROUND(IFERROR(VALUE(TRIM(SUBSTITUTE(E5,CHAR(160),""))),0),2),
"KO : Le montant retenu est supérieur au montant présenté. Merci de revoir la ligne de contributions ou plafonner son montant.",
ROUND(IFERROR(VALUE(TRIM(SUBSTITUTE(E5,CHAR(160),""))),0),2)=0,
"",
ROUND(IFERROR(VALUE(TRIM(SUBSTITUTE(J5,CHAR(160),""))),0),2)=
ROUND(IFERROR(VALUE(TRIM(SUBSTITUTE(E5,CHAR(160),""))),0),2),
"OK",
ROUND(IFERROR(VALUE(TRIM(SUBSTITUTE(J5,CHAR(160),""))),0),2)=0,
"Attention : Montant présenté entièrement rejeté.",
ROUND(IFERROR(VALUE(TRIM(SUBSTITUTE(J5,CHAR(160),""))),0),2)&lt;
ROUND(IFERROR(VALUE(TRIM(SUBSTITUTE(E5,CHAR(160),""))),0),2),
"Attention : Montant présenté partiellement rejeté.",
TRUE,""
))</f>
        <v/>
      </c>
      <c r="M5" s="218" t="str">
        <f>IF(OR(E5="",J5=""),"",IFERROR(VALUE(TRIM(SUBSTITUTE(E5,CHAR(160),""))),0)-IFERROR(VALUE(TRIM(SUBSTITUTE(J5,CHAR(160),""))),0))</f>
        <v/>
      </c>
    </row>
    <row r="6" spans="1:13" s="1" customFormat="1" ht="20.45" customHeight="1">
      <c r="A6" s="175">
        <v>2</v>
      </c>
      <c r="B6" s="7"/>
      <c r="C6" s="7"/>
      <c r="D6" s="38"/>
      <c r="E6" s="276" t="str">
        <f>IF(C6="","",IF(D6="OUI",10400*C6,8600*C6))</f>
        <v/>
      </c>
      <c r="F6" s="176"/>
      <c r="G6" s="223" t="str">
        <f t="shared" ref="G6:G24" si="5">IF(B6="","",B6)</f>
        <v/>
      </c>
      <c r="H6" s="224" t="str">
        <f t="shared" ref="H6:H24" si="6">IF(C6="","",C6)</f>
        <v/>
      </c>
      <c r="I6" s="170" t="str">
        <f t="shared" ref="I6:I24" si="7">IF(D6="","",D6)</f>
        <v/>
      </c>
      <c r="J6" s="303" t="str">
        <f t="shared" ref="J6:J24" si="8">IF(H6="","",IF(I6="OUI",10400*H6,8600*H6))</f>
        <v/>
      </c>
      <c r="K6" s="38"/>
      <c r="L6" s="23" t="str" cm="1">
        <f t="array" ref="L6">IF(OR(J6="",E6=""),"",_xlfn.IFS(
ROUND(IFERROR(VALUE(TRIM(SUBSTITUTE(J6,CHAR(160),""))),0),2)&gt;
ROUND(IFERROR(VALUE(TRIM(SUBSTITUTE(E6,CHAR(160),""))),0),2),
"KO : Le montant retenu est supérieur au montant présenté. Merci de revoir la ligne de contributions ou plafonner son montant.",
ROUND(IFERROR(VALUE(TRIM(SUBSTITUTE(E6,CHAR(160),""))),0),2)=0,
"",
ROUND(IFERROR(VALUE(TRIM(SUBSTITUTE(J6,CHAR(160),""))),0),2)=
ROUND(IFERROR(VALUE(TRIM(SUBSTITUTE(E6,CHAR(160),""))),0),2),
"OK",
ROUND(IFERROR(VALUE(TRIM(SUBSTITUTE(J6,CHAR(160),""))),0),2)=0,
"Attention : Montant présenté entièrement rejeté.",
ROUND(IFERROR(VALUE(TRIM(SUBSTITUTE(J6,CHAR(160),""))),0),2)&lt;
ROUND(IFERROR(VALUE(TRIM(SUBSTITUTE(E6,CHAR(160),""))),0),2),
"Attention : Montant présenté partiellement rejeté.",
TRUE,""
))</f>
        <v/>
      </c>
      <c r="M6" s="218" t="str">
        <f t="shared" ref="M6:M24" si="9">IF(OR(E6="",J6=""),"",IFERROR(VALUE(TRIM(SUBSTITUTE(E6,CHAR(160),""))),0)-IFERROR(VALUE(TRIM(SUBSTITUTE(J6,CHAR(160),""))),0))</f>
        <v/>
      </c>
    </row>
    <row r="7" spans="1:13" s="1" customFormat="1" ht="20.45" customHeight="1">
      <c r="A7" s="175">
        <v>3</v>
      </c>
      <c r="B7" s="7"/>
      <c r="C7" s="7"/>
      <c r="D7" s="38"/>
      <c r="E7" s="276" t="str">
        <f t="shared" ref="E7:E24" si="10">IF(C7="","",IF(D7="OUI",10400*C7,8600*C7))</f>
        <v/>
      </c>
      <c r="F7" s="176"/>
      <c r="G7" s="223" t="str">
        <f t="shared" si="5"/>
        <v/>
      </c>
      <c r="H7" s="224" t="str">
        <f t="shared" si="6"/>
        <v/>
      </c>
      <c r="I7" s="170" t="str">
        <f t="shared" si="7"/>
        <v/>
      </c>
      <c r="J7" s="303" t="str">
        <f t="shared" si="8"/>
        <v/>
      </c>
      <c r="K7" s="38"/>
      <c r="L7" s="23" t="str" cm="1">
        <f t="array" ref="L7">IF(OR(J7="",E7=""),"",_xlfn.IFS(
ROUND(IFERROR(VALUE(TRIM(SUBSTITUTE(J7,CHAR(160),""))),0),2)&gt;
ROUND(IFERROR(VALUE(TRIM(SUBSTITUTE(E7,CHAR(160),""))),0),2),
"KO : Le montant retenu est supérieur au montant présenté. Merci de revoir la ligne de contributions ou plafonner son montant.",
ROUND(IFERROR(VALUE(TRIM(SUBSTITUTE(E7,CHAR(160),""))),0),2)=0,
"",
ROUND(IFERROR(VALUE(TRIM(SUBSTITUTE(J7,CHAR(160),""))),0),2)=
ROUND(IFERROR(VALUE(TRIM(SUBSTITUTE(E7,CHAR(160),""))),0),2),
"OK",
ROUND(IFERROR(VALUE(TRIM(SUBSTITUTE(J7,CHAR(160),""))),0),2)=0,
"Attention : Montant présenté entièrement rejeté.",
ROUND(IFERROR(VALUE(TRIM(SUBSTITUTE(J7,CHAR(160),""))),0),2)&lt;
ROUND(IFERROR(VALUE(TRIM(SUBSTITUTE(E7,CHAR(160),""))),0),2),
"Attention : Montant présenté partiellement rejeté.",
TRUE,""
))</f>
        <v/>
      </c>
      <c r="M7" s="218" t="str">
        <f t="shared" si="9"/>
        <v/>
      </c>
    </row>
    <row r="8" spans="1:13" s="1" customFormat="1" ht="20.45" customHeight="1">
      <c r="A8" s="175">
        <v>4</v>
      </c>
      <c r="B8" s="7"/>
      <c r="C8" s="7"/>
      <c r="D8" s="38"/>
      <c r="E8" s="276" t="str">
        <f t="shared" si="10"/>
        <v/>
      </c>
      <c r="F8" s="176"/>
      <c r="G8" s="223" t="str">
        <f t="shared" si="5"/>
        <v/>
      </c>
      <c r="H8" s="224" t="str">
        <f t="shared" si="6"/>
        <v/>
      </c>
      <c r="I8" s="170" t="str">
        <f t="shared" si="7"/>
        <v/>
      </c>
      <c r="J8" s="303" t="str">
        <f t="shared" si="8"/>
        <v/>
      </c>
      <c r="K8" s="38"/>
      <c r="L8" s="23" t="str" cm="1">
        <f t="array" ref="L8">IF(OR(J8="",E8=""),"",_xlfn.IFS(
ROUND(IFERROR(VALUE(TRIM(SUBSTITUTE(J8,CHAR(160),""))),0),2)&gt;
ROUND(IFERROR(VALUE(TRIM(SUBSTITUTE(E8,CHAR(160),""))),0),2),
"KO : Le montant retenu est supérieur au montant présenté. Merci de revoir la ligne de contributions ou plafonner son montant.",
ROUND(IFERROR(VALUE(TRIM(SUBSTITUTE(E8,CHAR(160),""))),0),2)=0,
"",
ROUND(IFERROR(VALUE(TRIM(SUBSTITUTE(J8,CHAR(160),""))),0),2)=
ROUND(IFERROR(VALUE(TRIM(SUBSTITUTE(E8,CHAR(160),""))),0),2),
"OK",
ROUND(IFERROR(VALUE(TRIM(SUBSTITUTE(J8,CHAR(160),""))),0),2)=0,
"Attention : Montant présenté entièrement rejeté.",
ROUND(IFERROR(VALUE(TRIM(SUBSTITUTE(J8,CHAR(160),""))),0),2)&lt;
ROUND(IFERROR(VALUE(TRIM(SUBSTITUTE(E8,CHAR(160),""))),0),2),
"Attention : Montant présenté partiellement rejeté.",
TRUE,""
))</f>
        <v/>
      </c>
      <c r="M8" s="218" t="str">
        <f t="shared" si="9"/>
        <v/>
      </c>
    </row>
    <row r="9" spans="1:13" s="1" customFormat="1" ht="20.45" customHeight="1">
      <c r="A9" s="175">
        <v>5</v>
      </c>
      <c r="B9" s="7"/>
      <c r="C9" s="7"/>
      <c r="D9" s="38"/>
      <c r="E9" s="276" t="str">
        <f t="shared" si="10"/>
        <v/>
      </c>
      <c r="F9" s="176"/>
      <c r="G9" s="223" t="str">
        <f t="shared" si="5"/>
        <v/>
      </c>
      <c r="H9" s="224" t="str">
        <f t="shared" si="6"/>
        <v/>
      </c>
      <c r="I9" s="170" t="str">
        <f t="shared" si="7"/>
        <v/>
      </c>
      <c r="J9" s="303" t="str">
        <f t="shared" si="8"/>
        <v/>
      </c>
      <c r="K9" s="38"/>
      <c r="L9" s="23" t="str" cm="1">
        <f t="array" ref="L9">IF(OR(J9="",E9=""),"",_xlfn.IFS(
ROUND(IFERROR(VALUE(TRIM(SUBSTITUTE(J9,CHAR(160),""))),0),2)&gt;
ROUND(IFERROR(VALUE(TRIM(SUBSTITUTE(E9,CHAR(160),""))),0),2),
"KO : Le montant retenu est supérieur au montant présenté. Merci de revoir la ligne de contributions ou plafonner son montant.",
ROUND(IFERROR(VALUE(TRIM(SUBSTITUTE(E9,CHAR(160),""))),0),2)=0,
"",
ROUND(IFERROR(VALUE(TRIM(SUBSTITUTE(J9,CHAR(160),""))),0),2)=
ROUND(IFERROR(VALUE(TRIM(SUBSTITUTE(E9,CHAR(160),""))),0),2),
"OK",
ROUND(IFERROR(VALUE(TRIM(SUBSTITUTE(J9,CHAR(160),""))),0),2)=0,
"Attention : Montant présenté entièrement rejeté.",
ROUND(IFERROR(VALUE(TRIM(SUBSTITUTE(J9,CHAR(160),""))),0),2)&lt;
ROUND(IFERROR(VALUE(TRIM(SUBSTITUTE(E9,CHAR(160),""))),0),2),
"Attention : Montant présenté partiellement rejeté.",
TRUE,""
))</f>
        <v/>
      </c>
      <c r="M9" s="218" t="str">
        <f t="shared" si="9"/>
        <v/>
      </c>
    </row>
    <row r="10" spans="1:13" s="1" customFormat="1" ht="20.45" customHeight="1">
      <c r="A10" s="175">
        <v>6</v>
      </c>
      <c r="B10" s="7"/>
      <c r="C10" s="7"/>
      <c r="D10" s="38"/>
      <c r="E10" s="276" t="str">
        <f t="shared" si="10"/>
        <v/>
      </c>
      <c r="F10" s="176"/>
      <c r="G10" s="223" t="str">
        <f t="shared" si="5"/>
        <v/>
      </c>
      <c r="H10" s="224" t="str">
        <f t="shared" si="6"/>
        <v/>
      </c>
      <c r="I10" s="170" t="str">
        <f t="shared" si="7"/>
        <v/>
      </c>
      <c r="J10" s="303" t="str">
        <f t="shared" si="8"/>
        <v/>
      </c>
      <c r="K10" s="38"/>
      <c r="L10" s="23" t="str" cm="1">
        <f t="array" ref="L10">IF(OR(J10="",E10=""),"",_xlfn.IFS(
ROUND(IFERROR(VALUE(TRIM(SUBSTITUTE(J10,CHAR(160),""))),0),2)&gt;
ROUND(IFERROR(VALUE(TRIM(SUBSTITUTE(E10,CHAR(160),""))),0),2),
"KO : Le montant retenu est supérieur au montant présenté. Merci de revoir la ligne de contributions ou plafonner son montant.",
ROUND(IFERROR(VALUE(TRIM(SUBSTITUTE(E10,CHAR(160),""))),0),2)=0,
"",
ROUND(IFERROR(VALUE(TRIM(SUBSTITUTE(J10,CHAR(160),""))),0),2)=
ROUND(IFERROR(VALUE(TRIM(SUBSTITUTE(E10,CHAR(160),""))),0),2),
"OK",
ROUND(IFERROR(VALUE(TRIM(SUBSTITUTE(J10,CHAR(160),""))),0),2)=0,
"Attention : Montant présenté entièrement rejeté.",
ROUND(IFERROR(VALUE(TRIM(SUBSTITUTE(J10,CHAR(160),""))),0),2)&lt;
ROUND(IFERROR(VALUE(TRIM(SUBSTITUTE(E10,CHAR(160),""))),0),2),
"Attention : Montant présenté partiellement rejeté.",
TRUE,""
))</f>
        <v/>
      </c>
      <c r="M10" s="218" t="str">
        <f t="shared" si="9"/>
        <v/>
      </c>
    </row>
    <row r="11" spans="1:13" s="1" customFormat="1" ht="20.45" customHeight="1">
      <c r="A11" s="175">
        <v>7</v>
      </c>
      <c r="B11" s="7"/>
      <c r="C11" s="7"/>
      <c r="D11" s="38"/>
      <c r="E11" s="276" t="str">
        <f t="shared" si="10"/>
        <v/>
      </c>
      <c r="F11" s="176"/>
      <c r="G11" s="223" t="str">
        <f t="shared" si="5"/>
        <v/>
      </c>
      <c r="H11" s="224" t="str">
        <f t="shared" si="6"/>
        <v/>
      </c>
      <c r="I11" s="170" t="str">
        <f t="shared" si="7"/>
        <v/>
      </c>
      <c r="J11" s="303" t="str">
        <f t="shared" si="8"/>
        <v/>
      </c>
      <c r="K11" s="38"/>
      <c r="L11" s="23" t="str" cm="1">
        <f t="array" ref="L11">IF(OR(J11="",E11=""),"",_xlfn.IFS(
ROUND(IFERROR(VALUE(TRIM(SUBSTITUTE(J11,CHAR(160),""))),0),2)&gt;
ROUND(IFERROR(VALUE(TRIM(SUBSTITUTE(E11,CHAR(160),""))),0),2),
"KO : Le montant retenu est supérieur au montant présenté. Merci de revoir la ligne de contributions ou plafonner son montant.",
ROUND(IFERROR(VALUE(TRIM(SUBSTITUTE(E11,CHAR(160),""))),0),2)=0,
"",
ROUND(IFERROR(VALUE(TRIM(SUBSTITUTE(J11,CHAR(160),""))),0),2)=
ROUND(IFERROR(VALUE(TRIM(SUBSTITUTE(E11,CHAR(160),""))),0),2),
"OK",
ROUND(IFERROR(VALUE(TRIM(SUBSTITUTE(J11,CHAR(160),""))),0),2)=0,
"Attention : Montant présenté entièrement rejeté.",
ROUND(IFERROR(VALUE(TRIM(SUBSTITUTE(J11,CHAR(160),""))),0),2)&lt;
ROUND(IFERROR(VALUE(TRIM(SUBSTITUTE(E11,CHAR(160),""))),0),2),
"Attention : Montant présenté partiellement rejeté.",
TRUE,""
))</f>
        <v/>
      </c>
      <c r="M11" s="218" t="str">
        <f t="shared" si="9"/>
        <v/>
      </c>
    </row>
    <row r="12" spans="1:13" s="1" customFormat="1" ht="20.45" customHeight="1">
      <c r="A12" s="175">
        <v>8</v>
      </c>
      <c r="B12" s="7"/>
      <c r="C12" s="7"/>
      <c r="D12" s="38"/>
      <c r="E12" s="276" t="str">
        <f t="shared" si="10"/>
        <v/>
      </c>
      <c r="F12" s="176"/>
      <c r="G12" s="223" t="str">
        <f t="shared" si="5"/>
        <v/>
      </c>
      <c r="H12" s="224" t="str">
        <f t="shared" si="6"/>
        <v/>
      </c>
      <c r="I12" s="170" t="str">
        <f t="shared" si="7"/>
        <v/>
      </c>
      <c r="J12" s="303" t="str">
        <f t="shared" si="8"/>
        <v/>
      </c>
      <c r="K12" s="38"/>
      <c r="L12" s="23" t="str" cm="1">
        <f t="array" ref="L12">IF(OR(J12="",E12=""),"",_xlfn.IFS(
ROUND(IFERROR(VALUE(TRIM(SUBSTITUTE(J12,CHAR(160),""))),0),2)&gt;
ROUND(IFERROR(VALUE(TRIM(SUBSTITUTE(E12,CHAR(160),""))),0),2),
"KO : Le montant retenu est supérieur au montant présenté. Merci de revoir la ligne de contributions ou plafonner son montant.",
ROUND(IFERROR(VALUE(TRIM(SUBSTITUTE(E12,CHAR(160),""))),0),2)=0,
"",
ROUND(IFERROR(VALUE(TRIM(SUBSTITUTE(J12,CHAR(160),""))),0),2)=
ROUND(IFERROR(VALUE(TRIM(SUBSTITUTE(E12,CHAR(160),""))),0),2),
"OK",
ROUND(IFERROR(VALUE(TRIM(SUBSTITUTE(J12,CHAR(160),""))),0),2)=0,
"Attention : Montant présenté entièrement rejeté.",
ROUND(IFERROR(VALUE(TRIM(SUBSTITUTE(J12,CHAR(160),""))),0),2)&lt;
ROUND(IFERROR(VALUE(TRIM(SUBSTITUTE(E12,CHAR(160),""))),0),2),
"Attention : Montant présenté partiellement rejeté.",
TRUE,""
))</f>
        <v/>
      </c>
      <c r="M12" s="218" t="str">
        <f t="shared" si="9"/>
        <v/>
      </c>
    </row>
    <row r="13" spans="1:13" s="1" customFormat="1" ht="20.45" customHeight="1">
      <c r="A13" s="175">
        <v>9</v>
      </c>
      <c r="B13" s="7"/>
      <c r="C13" s="7"/>
      <c r="D13" s="38"/>
      <c r="E13" s="276" t="str">
        <f t="shared" si="10"/>
        <v/>
      </c>
      <c r="F13" s="176"/>
      <c r="G13" s="223" t="str">
        <f t="shared" si="5"/>
        <v/>
      </c>
      <c r="H13" s="224" t="str">
        <f t="shared" si="6"/>
        <v/>
      </c>
      <c r="I13" s="170" t="str">
        <f t="shared" si="7"/>
        <v/>
      </c>
      <c r="J13" s="303" t="str">
        <f t="shared" si="8"/>
        <v/>
      </c>
      <c r="K13" s="38"/>
      <c r="L13" s="23" t="str" cm="1">
        <f t="array" ref="L13">IF(OR(J13="",E13=""),"",_xlfn.IFS(
ROUND(IFERROR(VALUE(TRIM(SUBSTITUTE(J13,CHAR(160),""))),0),2)&gt;
ROUND(IFERROR(VALUE(TRIM(SUBSTITUTE(E13,CHAR(160),""))),0),2),
"KO : Le montant retenu est supérieur au montant présenté. Merci de revoir la ligne de contributions ou plafonner son montant.",
ROUND(IFERROR(VALUE(TRIM(SUBSTITUTE(E13,CHAR(160),""))),0),2)=0,
"",
ROUND(IFERROR(VALUE(TRIM(SUBSTITUTE(J13,CHAR(160),""))),0),2)=
ROUND(IFERROR(VALUE(TRIM(SUBSTITUTE(E13,CHAR(160),""))),0),2),
"OK",
ROUND(IFERROR(VALUE(TRIM(SUBSTITUTE(J13,CHAR(160),""))),0),2)=0,
"Attention : Montant présenté entièrement rejeté.",
ROUND(IFERROR(VALUE(TRIM(SUBSTITUTE(J13,CHAR(160),""))),0),2)&lt;
ROUND(IFERROR(VALUE(TRIM(SUBSTITUTE(E13,CHAR(160),""))),0),2),
"Attention : Montant présenté partiellement rejeté.",
TRUE,""
))</f>
        <v/>
      </c>
      <c r="M13" s="218" t="str">
        <f t="shared" si="9"/>
        <v/>
      </c>
    </row>
    <row r="14" spans="1:13" s="1" customFormat="1" ht="20.45" customHeight="1">
      <c r="A14" s="175">
        <v>10</v>
      </c>
      <c r="B14" s="7"/>
      <c r="C14" s="7"/>
      <c r="D14" s="38"/>
      <c r="E14" s="276" t="str">
        <f t="shared" si="10"/>
        <v/>
      </c>
      <c r="F14" s="176"/>
      <c r="G14" s="223" t="str">
        <f t="shared" si="5"/>
        <v/>
      </c>
      <c r="H14" s="224" t="str">
        <f t="shared" si="6"/>
        <v/>
      </c>
      <c r="I14" s="170" t="str">
        <f t="shared" si="7"/>
        <v/>
      </c>
      <c r="J14" s="303" t="str">
        <f t="shared" si="8"/>
        <v/>
      </c>
      <c r="K14" s="38"/>
      <c r="L14" s="23" t="str" cm="1">
        <f t="array" ref="L14">IF(OR(J14="",E14=""),"",_xlfn.IFS(
ROUND(IFERROR(VALUE(TRIM(SUBSTITUTE(J14,CHAR(160),""))),0),2)&gt;
ROUND(IFERROR(VALUE(TRIM(SUBSTITUTE(E14,CHAR(160),""))),0),2),
"KO : Le montant retenu est supérieur au montant présenté. Merci de revoir la ligne de contributions ou plafonner son montant.",
ROUND(IFERROR(VALUE(TRIM(SUBSTITUTE(E14,CHAR(160),""))),0),2)=0,
"",
ROUND(IFERROR(VALUE(TRIM(SUBSTITUTE(J14,CHAR(160),""))),0),2)=
ROUND(IFERROR(VALUE(TRIM(SUBSTITUTE(E14,CHAR(160),""))),0),2),
"OK",
ROUND(IFERROR(VALUE(TRIM(SUBSTITUTE(J14,CHAR(160),""))),0),2)=0,
"Attention : Montant présenté entièrement rejeté.",
ROUND(IFERROR(VALUE(TRIM(SUBSTITUTE(J14,CHAR(160),""))),0),2)&lt;
ROUND(IFERROR(VALUE(TRIM(SUBSTITUTE(E14,CHAR(160),""))),0),2),
"Attention : Montant présenté partiellement rejeté.",
TRUE,""
))</f>
        <v/>
      </c>
      <c r="M14" s="218" t="str">
        <f t="shared" si="9"/>
        <v/>
      </c>
    </row>
    <row r="15" spans="1:13" s="1" customFormat="1" ht="20.45" customHeight="1">
      <c r="A15" s="175">
        <v>11</v>
      </c>
      <c r="B15" s="7"/>
      <c r="C15" s="7"/>
      <c r="D15" s="38"/>
      <c r="E15" s="276" t="str">
        <f t="shared" si="10"/>
        <v/>
      </c>
      <c r="F15" s="176"/>
      <c r="G15" s="223" t="str">
        <f t="shared" si="5"/>
        <v/>
      </c>
      <c r="H15" s="224" t="str">
        <f t="shared" si="6"/>
        <v/>
      </c>
      <c r="I15" s="170" t="str">
        <f t="shared" si="7"/>
        <v/>
      </c>
      <c r="J15" s="303" t="str">
        <f t="shared" si="8"/>
        <v/>
      </c>
      <c r="K15" s="38"/>
      <c r="L15" s="23" t="str" cm="1">
        <f t="array" ref="L15">IF(OR(J15="",E15=""),"",_xlfn.IFS(
ROUND(IFERROR(VALUE(TRIM(SUBSTITUTE(J15,CHAR(160),""))),0),2)&gt;
ROUND(IFERROR(VALUE(TRIM(SUBSTITUTE(E15,CHAR(160),""))),0),2),
"KO : Le montant retenu est supérieur au montant présenté. Merci de revoir la ligne de contributions ou plafonner son montant.",
ROUND(IFERROR(VALUE(TRIM(SUBSTITUTE(E15,CHAR(160),""))),0),2)=0,
"",
ROUND(IFERROR(VALUE(TRIM(SUBSTITUTE(J15,CHAR(160),""))),0),2)=
ROUND(IFERROR(VALUE(TRIM(SUBSTITUTE(E15,CHAR(160),""))),0),2),
"OK",
ROUND(IFERROR(VALUE(TRIM(SUBSTITUTE(J15,CHAR(160),""))),0),2)=0,
"Attention : Montant présenté entièrement rejeté.",
ROUND(IFERROR(VALUE(TRIM(SUBSTITUTE(J15,CHAR(160),""))),0),2)&lt;
ROUND(IFERROR(VALUE(TRIM(SUBSTITUTE(E15,CHAR(160),""))),0),2),
"Attention : Montant présenté partiellement rejeté.",
TRUE,""
))</f>
        <v/>
      </c>
      <c r="M15" s="218" t="str">
        <f t="shared" si="9"/>
        <v/>
      </c>
    </row>
    <row r="16" spans="1:13" s="1" customFormat="1" ht="20.45" customHeight="1">
      <c r="A16" s="175">
        <v>12</v>
      </c>
      <c r="B16" s="7"/>
      <c r="C16" s="7"/>
      <c r="D16" s="38"/>
      <c r="E16" s="276" t="str">
        <f t="shared" si="10"/>
        <v/>
      </c>
      <c r="F16" s="176"/>
      <c r="G16" s="223" t="str">
        <f t="shared" si="5"/>
        <v/>
      </c>
      <c r="H16" s="224" t="str">
        <f t="shared" si="6"/>
        <v/>
      </c>
      <c r="I16" s="170" t="str">
        <f t="shared" si="7"/>
        <v/>
      </c>
      <c r="J16" s="303" t="str">
        <f t="shared" si="8"/>
        <v/>
      </c>
      <c r="K16" s="38"/>
      <c r="L16" s="23" t="str" cm="1">
        <f t="array" ref="L16">IF(OR(J16="",E16=""),"",_xlfn.IFS(
ROUND(IFERROR(VALUE(TRIM(SUBSTITUTE(J16,CHAR(160),""))),0),2)&gt;
ROUND(IFERROR(VALUE(TRIM(SUBSTITUTE(E16,CHAR(160),""))),0),2),
"KO : Le montant retenu est supérieur au montant présenté. Merci de revoir la ligne de contributions ou plafonner son montant.",
ROUND(IFERROR(VALUE(TRIM(SUBSTITUTE(E16,CHAR(160),""))),0),2)=0,
"",
ROUND(IFERROR(VALUE(TRIM(SUBSTITUTE(J16,CHAR(160),""))),0),2)=
ROUND(IFERROR(VALUE(TRIM(SUBSTITUTE(E16,CHAR(160),""))),0),2),
"OK",
ROUND(IFERROR(VALUE(TRIM(SUBSTITUTE(J16,CHAR(160),""))),0),2)=0,
"Attention : Montant présenté entièrement rejeté.",
ROUND(IFERROR(VALUE(TRIM(SUBSTITUTE(J16,CHAR(160),""))),0),2)&lt;
ROUND(IFERROR(VALUE(TRIM(SUBSTITUTE(E16,CHAR(160),""))),0),2),
"Attention : Montant présenté partiellement rejeté.",
TRUE,""
))</f>
        <v/>
      </c>
      <c r="M16" s="218" t="str">
        <f t="shared" si="9"/>
        <v/>
      </c>
    </row>
    <row r="17" spans="1:13" s="1" customFormat="1" ht="20.45" customHeight="1">
      <c r="A17" s="175">
        <v>13</v>
      </c>
      <c r="B17" s="7"/>
      <c r="C17" s="7"/>
      <c r="D17" s="38"/>
      <c r="E17" s="276" t="str">
        <f t="shared" si="10"/>
        <v/>
      </c>
      <c r="F17" s="176"/>
      <c r="G17" s="223" t="str">
        <f t="shared" si="5"/>
        <v/>
      </c>
      <c r="H17" s="224" t="str">
        <f t="shared" si="6"/>
        <v/>
      </c>
      <c r="I17" s="170" t="str">
        <f t="shared" si="7"/>
        <v/>
      </c>
      <c r="J17" s="303" t="str">
        <f t="shared" si="8"/>
        <v/>
      </c>
      <c r="K17" s="38"/>
      <c r="L17" s="23" t="str" cm="1">
        <f t="array" ref="L17">IF(OR(J17="",E17=""),"",_xlfn.IFS(
ROUND(IFERROR(VALUE(TRIM(SUBSTITUTE(J17,CHAR(160),""))),0),2)&gt;
ROUND(IFERROR(VALUE(TRIM(SUBSTITUTE(E17,CHAR(160),""))),0),2),
"KO : Le montant retenu est supérieur au montant présenté. Merci de revoir la ligne de contributions ou plafonner son montant.",
ROUND(IFERROR(VALUE(TRIM(SUBSTITUTE(E17,CHAR(160),""))),0),2)=0,
"",
ROUND(IFERROR(VALUE(TRIM(SUBSTITUTE(J17,CHAR(160),""))),0),2)=
ROUND(IFERROR(VALUE(TRIM(SUBSTITUTE(E17,CHAR(160),""))),0),2),
"OK",
ROUND(IFERROR(VALUE(TRIM(SUBSTITUTE(J17,CHAR(160),""))),0),2)=0,
"Attention : Montant présenté entièrement rejeté.",
ROUND(IFERROR(VALUE(TRIM(SUBSTITUTE(J17,CHAR(160),""))),0),2)&lt;
ROUND(IFERROR(VALUE(TRIM(SUBSTITUTE(E17,CHAR(160),""))),0),2),
"Attention : Montant présenté partiellement rejeté.",
TRUE,""
))</f>
        <v/>
      </c>
      <c r="M17" s="218" t="str">
        <f t="shared" si="9"/>
        <v/>
      </c>
    </row>
    <row r="18" spans="1:13" s="1" customFormat="1" ht="20.45" customHeight="1">
      <c r="A18" s="175">
        <v>14</v>
      </c>
      <c r="B18" s="7"/>
      <c r="C18" s="7"/>
      <c r="D18" s="38"/>
      <c r="E18" s="276" t="str">
        <f t="shared" si="10"/>
        <v/>
      </c>
      <c r="F18" s="176"/>
      <c r="G18" s="223" t="str">
        <f t="shared" si="5"/>
        <v/>
      </c>
      <c r="H18" s="224" t="str">
        <f t="shared" si="6"/>
        <v/>
      </c>
      <c r="I18" s="170" t="str">
        <f t="shared" si="7"/>
        <v/>
      </c>
      <c r="J18" s="303" t="str">
        <f t="shared" si="8"/>
        <v/>
      </c>
      <c r="K18" s="38"/>
      <c r="L18" s="23" t="str" cm="1">
        <f t="array" ref="L18">IF(OR(J18="",E18=""),"",_xlfn.IFS(
ROUND(IFERROR(VALUE(TRIM(SUBSTITUTE(J18,CHAR(160),""))),0),2)&gt;
ROUND(IFERROR(VALUE(TRIM(SUBSTITUTE(E18,CHAR(160),""))),0),2),
"KO : Le montant retenu est supérieur au montant présenté. Merci de revoir la ligne de contributions ou plafonner son montant.",
ROUND(IFERROR(VALUE(TRIM(SUBSTITUTE(E18,CHAR(160),""))),0),2)=0,
"",
ROUND(IFERROR(VALUE(TRIM(SUBSTITUTE(J18,CHAR(160),""))),0),2)=
ROUND(IFERROR(VALUE(TRIM(SUBSTITUTE(E18,CHAR(160),""))),0),2),
"OK",
ROUND(IFERROR(VALUE(TRIM(SUBSTITUTE(J18,CHAR(160),""))),0),2)=0,
"Attention : Montant présenté entièrement rejeté.",
ROUND(IFERROR(VALUE(TRIM(SUBSTITUTE(J18,CHAR(160),""))),0),2)&lt;
ROUND(IFERROR(VALUE(TRIM(SUBSTITUTE(E18,CHAR(160),""))),0),2),
"Attention : Montant présenté partiellement rejeté.",
TRUE,""
))</f>
        <v/>
      </c>
      <c r="M18" s="218" t="str">
        <f t="shared" si="9"/>
        <v/>
      </c>
    </row>
    <row r="19" spans="1:13" s="1" customFormat="1" ht="20.45" customHeight="1">
      <c r="A19" s="175">
        <v>15</v>
      </c>
      <c r="B19" s="7"/>
      <c r="C19" s="7"/>
      <c r="D19" s="38"/>
      <c r="E19" s="276" t="str">
        <f t="shared" si="10"/>
        <v/>
      </c>
      <c r="F19" s="176"/>
      <c r="G19" s="223" t="str">
        <f t="shared" si="5"/>
        <v/>
      </c>
      <c r="H19" s="224" t="str">
        <f t="shared" si="6"/>
        <v/>
      </c>
      <c r="I19" s="170" t="str">
        <f t="shared" si="7"/>
        <v/>
      </c>
      <c r="J19" s="303" t="str">
        <f t="shared" si="8"/>
        <v/>
      </c>
      <c r="K19" s="38"/>
      <c r="L19" s="23" t="str" cm="1">
        <f t="array" ref="L19">IF(OR(J19="",E19=""),"",_xlfn.IFS(
ROUND(IFERROR(VALUE(TRIM(SUBSTITUTE(J19,CHAR(160),""))),0),2)&gt;
ROUND(IFERROR(VALUE(TRIM(SUBSTITUTE(E19,CHAR(160),""))),0),2),
"KO : Le montant retenu est supérieur au montant présenté. Merci de revoir la ligne de contributions ou plafonner son montant.",
ROUND(IFERROR(VALUE(TRIM(SUBSTITUTE(E19,CHAR(160),""))),0),2)=0,
"",
ROUND(IFERROR(VALUE(TRIM(SUBSTITUTE(J19,CHAR(160),""))),0),2)=
ROUND(IFERROR(VALUE(TRIM(SUBSTITUTE(E19,CHAR(160),""))),0),2),
"OK",
ROUND(IFERROR(VALUE(TRIM(SUBSTITUTE(J19,CHAR(160),""))),0),2)=0,
"Attention : Montant présenté entièrement rejeté.",
ROUND(IFERROR(VALUE(TRIM(SUBSTITUTE(J19,CHAR(160),""))),0),2)&lt;
ROUND(IFERROR(VALUE(TRIM(SUBSTITUTE(E19,CHAR(160),""))),0),2),
"Attention : Montant présenté partiellement rejeté.",
TRUE,""
))</f>
        <v/>
      </c>
      <c r="M19" s="218" t="str">
        <f t="shared" si="9"/>
        <v/>
      </c>
    </row>
    <row r="20" spans="1:13" s="1" customFormat="1" ht="20.45" customHeight="1">
      <c r="A20" s="175">
        <v>16</v>
      </c>
      <c r="B20" s="7"/>
      <c r="C20" s="7"/>
      <c r="D20" s="38"/>
      <c r="E20" s="276" t="str">
        <f t="shared" si="10"/>
        <v/>
      </c>
      <c r="F20" s="176"/>
      <c r="G20" s="223" t="str">
        <f t="shared" si="5"/>
        <v/>
      </c>
      <c r="H20" s="224" t="str">
        <f t="shared" si="6"/>
        <v/>
      </c>
      <c r="I20" s="170" t="str">
        <f t="shared" si="7"/>
        <v/>
      </c>
      <c r="J20" s="303" t="str">
        <f t="shared" si="8"/>
        <v/>
      </c>
      <c r="K20" s="38"/>
      <c r="L20" s="23" t="str" cm="1">
        <f t="array" ref="L20">IF(OR(J20="",E20=""),"",_xlfn.IFS(
ROUND(IFERROR(VALUE(TRIM(SUBSTITUTE(J20,CHAR(160),""))),0),2)&gt;
ROUND(IFERROR(VALUE(TRIM(SUBSTITUTE(E20,CHAR(160),""))),0),2),
"KO : Le montant retenu est supérieur au montant présenté. Merci de revoir la ligne de contributions ou plafonner son montant.",
ROUND(IFERROR(VALUE(TRIM(SUBSTITUTE(E20,CHAR(160),""))),0),2)=0,
"",
ROUND(IFERROR(VALUE(TRIM(SUBSTITUTE(J20,CHAR(160),""))),0),2)=
ROUND(IFERROR(VALUE(TRIM(SUBSTITUTE(E20,CHAR(160),""))),0),2),
"OK",
ROUND(IFERROR(VALUE(TRIM(SUBSTITUTE(J20,CHAR(160),""))),0),2)=0,
"Attention : Montant présenté entièrement rejeté.",
ROUND(IFERROR(VALUE(TRIM(SUBSTITUTE(J20,CHAR(160),""))),0),2)&lt;
ROUND(IFERROR(VALUE(TRIM(SUBSTITUTE(E20,CHAR(160),""))),0),2),
"Attention : Montant présenté partiellement rejeté.",
TRUE,""
))</f>
        <v/>
      </c>
      <c r="M20" s="218" t="str">
        <f t="shared" si="9"/>
        <v/>
      </c>
    </row>
    <row r="21" spans="1:13" s="1" customFormat="1" ht="20.45" customHeight="1">
      <c r="A21" s="175">
        <v>17</v>
      </c>
      <c r="B21" s="7"/>
      <c r="C21" s="7"/>
      <c r="D21" s="38"/>
      <c r="E21" s="276" t="str">
        <f t="shared" si="10"/>
        <v/>
      </c>
      <c r="F21" s="176"/>
      <c r="G21" s="223" t="str">
        <f t="shared" si="5"/>
        <v/>
      </c>
      <c r="H21" s="224" t="str">
        <f t="shared" si="6"/>
        <v/>
      </c>
      <c r="I21" s="170" t="str">
        <f t="shared" si="7"/>
        <v/>
      </c>
      <c r="J21" s="303" t="str">
        <f t="shared" si="8"/>
        <v/>
      </c>
      <c r="K21" s="38"/>
      <c r="L21" s="23" t="str" cm="1">
        <f t="array" ref="L21">IF(OR(J21="",E21=""),"",_xlfn.IFS(
ROUND(IFERROR(VALUE(TRIM(SUBSTITUTE(J21,CHAR(160),""))),0),2)&gt;
ROUND(IFERROR(VALUE(TRIM(SUBSTITUTE(E21,CHAR(160),""))),0),2),
"KO : Le montant retenu est supérieur au montant présenté. Merci de revoir la ligne de contributions ou plafonner son montant.",
ROUND(IFERROR(VALUE(TRIM(SUBSTITUTE(E21,CHAR(160),""))),0),2)=0,
"",
ROUND(IFERROR(VALUE(TRIM(SUBSTITUTE(J21,CHAR(160),""))),0),2)=
ROUND(IFERROR(VALUE(TRIM(SUBSTITUTE(E21,CHAR(160),""))),0),2),
"OK",
ROUND(IFERROR(VALUE(TRIM(SUBSTITUTE(J21,CHAR(160),""))),0),2)=0,
"Attention : Montant présenté entièrement rejeté.",
ROUND(IFERROR(VALUE(TRIM(SUBSTITUTE(J21,CHAR(160),""))),0),2)&lt;
ROUND(IFERROR(VALUE(TRIM(SUBSTITUTE(E21,CHAR(160),""))),0),2),
"Attention : Montant présenté partiellement rejeté.",
TRUE,""
))</f>
        <v/>
      </c>
      <c r="M21" s="218" t="str">
        <f t="shared" si="9"/>
        <v/>
      </c>
    </row>
    <row r="22" spans="1:13" s="1" customFormat="1" ht="20.45" customHeight="1">
      <c r="A22" s="175">
        <v>18</v>
      </c>
      <c r="B22" s="7"/>
      <c r="C22" s="7"/>
      <c r="D22" s="38"/>
      <c r="E22" s="276" t="str">
        <f t="shared" si="10"/>
        <v/>
      </c>
      <c r="F22" s="176"/>
      <c r="G22" s="223" t="str">
        <f t="shared" si="5"/>
        <v/>
      </c>
      <c r="H22" s="224" t="str">
        <f t="shared" si="6"/>
        <v/>
      </c>
      <c r="I22" s="170" t="str">
        <f t="shared" si="7"/>
        <v/>
      </c>
      <c r="J22" s="303" t="str">
        <f t="shared" si="8"/>
        <v/>
      </c>
      <c r="K22" s="38"/>
      <c r="L22" s="23" t="str" cm="1">
        <f t="array" ref="L22">IF(OR(J22="",E22=""),"",_xlfn.IFS(
ROUND(IFERROR(VALUE(TRIM(SUBSTITUTE(J22,CHAR(160),""))),0),2)&gt;
ROUND(IFERROR(VALUE(TRIM(SUBSTITUTE(E22,CHAR(160),""))),0),2),
"KO : Le montant retenu est supérieur au montant présenté. Merci de revoir la ligne de contributions ou plafonner son montant.",
ROUND(IFERROR(VALUE(TRIM(SUBSTITUTE(E22,CHAR(160),""))),0),2)=0,
"",
ROUND(IFERROR(VALUE(TRIM(SUBSTITUTE(J22,CHAR(160),""))),0),2)=
ROUND(IFERROR(VALUE(TRIM(SUBSTITUTE(E22,CHAR(160),""))),0),2),
"OK",
ROUND(IFERROR(VALUE(TRIM(SUBSTITUTE(J22,CHAR(160),""))),0),2)=0,
"Attention : Montant présenté entièrement rejeté.",
ROUND(IFERROR(VALUE(TRIM(SUBSTITUTE(J22,CHAR(160),""))),0),2)&lt;
ROUND(IFERROR(VALUE(TRIM(SUBSTITUTE(E22,CHAR(160),""))),0),2),
"Attention : Montant présenté partiellement rejeté.",
TRUE,""
))</f>
        <v/>
      </c>
      <c r="M22" s="218" t="str">
        <f t="shared" si="9"/>
        <v/>
      </c>
    </row>
    <row r="23" spans="1:13" s="1" customFormat="1" ht="20.45" customHeight="1">
      <c r="A23" s="175">
        <v>19</v>
      </c>
      <c r="B23" s="7"/>
      <c r="C23" s="7"/>
      <c r="D23" s="38"/>
      <c r="E23" s="276" t="str">
        <f t="shared" si="10"/>
        <v/>
      </c>
      <c r="F23" s="176"/>
      <c r="G23" s="223" t="str">
        <f t="shared" si="5"/>
        <v/>
      </c>
      <c r="H23" s="224" t="str">
        <f t="shared" si="6"/>
        <v/>
      </c>
      <c r="I23" s="170" t="str">
        <f t="shared" si="7"/>
        <v/>
      </c>
      <c r="J23" s="303" t="str">
        <f t="shared" si="8"/>
        <v/>
      </c>
      <c r="K23" s="38"/>
      <c r="L23" s="23" t="str" cm="1">
        <f t="array" ref="L23">IF(OR(J23="",E23=""),"",_xlfn.IFS(
ROUND(IFERROR(VALUE(TRIM(SUBSTITUTE(J23,CHAR(160),""))),0),2)&gt;
ROUND(IFERROR(VALUE(TRIM(SUBSTITUTE(E23,CHAR(160),""))),0),2),
"KO : Le montant retenu est supérieur au montant présenté. Merci de revoir la ligne de contributions ou plafonner son montant.",
ROUND(IFERROR(VALUE(TRIM(SUBSTITUTE(E23,CHAR(160),""))),0),2)=0,
"",
ROUND(IFERROR(VALUE(TRIM(SUBSTITUTE(J23,CHAR(160),""))),0),2)=
ROUND(IFERROR(VALUE(TRIM(SUBSTITUTE(E23,CHAR(160),""))),0),2),
"OK",
ROUND(IFERROR(VALUE(TRIM(SUBSTITUTE(J23,CHAR(160),""))),0),2)=0,
"Attention : Montant présenté entièrement rejeté.",
ROUND(IFERROR(VALUE(TRIM(SUBSTITUTE(J23,CHAR(160),""))),0),2)&lt;
ROUND(IFERROR(VALUE(TRIM(SUBSTITUTE(E23,CHAR(160),""))),0),2),
"Attention : Montant présenté partiellement rejeté.",
TRUE,""
))</f>
        <v/>
      </c>
      <c r="M23" s="218" t="str">
        <f t="shared" si="9"/>
        <v/>
      </c>
    </row>
    <row r="24" spans="1:13" s="1" customFormat="1" ht="20.45" customHeight="1">
      <c r="A24" s="175">
        <v>20</v>
      </c>
      <c r="B24" s="7"/>
      <c r="C24" s="7"/>
      <c r="D24" s="38"/>
      <c r="E24" s="276" t="str">
        <f t="shared" si="10"/>
        <v/>
      </c>
      <c r="F24" s="176"/>
      <c r="G24" s="223" t="str">
        <f t="shared" si="5"/>
        <v/>
      </c>
      <c r="H24" s="224" t="str">
        <f t="shared" si="6"/>
        <v/>
      </c>
      <c r="I24" s="170" t="str">
        <f t="shared" si="7"/>
        <v/>
      </c>
      <c r="J24" s="303" t="str">
        <f t="shared" si="8"/>
        <v/>
      </c>
      <c r="K24" s="38"/>
      <c r="L24" s="23" t="str" cm="1">
        <f t="array" ref="L24">IF(OR(J24="",E24=""),"",_xlfn.IFS(
ROUND(IFERROR(VALUE(TRIM(SUBSTITUTE(J24,CHAR(160),""))),0),2)&gt;
ROUND(IFERROR(VALUE(TRIM(SUBSTITUTE(E24,CHAR(160),""))),0),2),
"KO : Le montant retenu est supérieur au montant présenté. Merci de revoir la ligne de contributions ou plafonner son montant.",
ROUND(IFERROR(VALUE(TRIM(SUBSTITUTE(E24,CHAR(160),""))),0),2)=0,
"",
ROUND(IFERROR(VALUE(TRIM(SUBSTITUTE(J24,CHAR(160),""))),0),2)=
ROUND(IFERROR(VALUE(TRIM(SUBSTITUTE(E24,CHAR(160),""))),0),2),
"OK",
ROUND(IFERROR(VALUE(TRIM(SUBSTITUTE(J24,CHAR(160),""))),0),2)=0,
"Attention : Montant présenté entièrement rejeté.",
ROUND(IFERROR(VALUE(TRIM(SUBSTITUTE(J24,CHAR(160),""))),0),2)&lt;
ROUND(IFERROR(VALUE(TRIM(SUBSTITUTE(E24,CHAR(160),""))),0),2),
"Attention : Montant présenté partiellement rejeté.",
TRUE,""
))</f>
        <v/>
      </c>
      <c r="M24" s="218" t="str">
        <f t="shared" si="9"/>
        <v/>
      </c>
    </row>
    <row r="25" spans="1:13" ht="15.95" thickBot="1">
      <c r="A25" s="177"/>
      <c r="B25" s="178"/>
      <c r="C25" s="178"/>
      <c r="D25" s="179" t="s">
        <v>240</v>
      </c>
      <c r="E25" s="180">
        <f>SUM(E5:E24)</f>
        <v>0</v>
      </c>
      <c r="F25" s="181"/>
      <c r="G25" s="177"/>
      <c r="H25" s="178"/>
      <c r="I25" s="219" t="s">
        <v>138</v>
      </c>
      <c r="J25" s="180">
        <f>SUM(J5:J24)</f>
        <v>0</v>
      </c>
      <c r="K25" s="178"/>
      <c r="L25" s="178"/>
      <c r="M25" s="220">
        <f>SUM(M5:M24)</f>
        <v>0</v>
      </c>
    </row>
  </sheetData>
  <sheetProtection formatCells="0" formatColumns="0" formatRows="0" insertRows="0"/>
  <mergeCells count="3">
    <mergeCell ref="G1:M1"/>
    <mergeCell ref="A1:F1"/>
    <mergeCell ref="A2:A3"/>
  </mergeCells>
  <conditionalFormatting sqref="G5:I24">
    <cfRule type="expression" dxfId="38" priority="1">
      <formula>G5&lt;&gt;B5</formula>
    </cfRule>
  </conditionalFormatting>
  <conditionalFormatting sqref="L4:L24">
    <cfRule type="containsText" dxfId="37" priority="3" operator="containsText" text="OK">
      <formula>NOT(ISERROR(SEARCH("OK",L4)))</formula>
    </cfRule>
    <cfRule type="containsText" dxfId="36" priority="4" operator="containsText" text="KO">
      <formula>NOT(ISERROR(SEARCH("KO",L4)))</formula>
    </cfRule>
    <cfRule type="containsText" dxfId="35" priority="5" operator="containsText" text="Attention">
      <formula>NOT(ISERROR(SEARCH("Attention",L4)))</formula>
    </cfRule>
  </conditionalFormatting>
  <dataValidations count="2">
    <dataValidation type="list" allowBlank="1" showInputMessage="1" showErrorMessage="1" sqref="D4:D24 I5:I24" xr:uid="{2AB4CFA8-FFCA-49CA-A7BB-E7C0359E7F98}">
      <formula1>"OUI,NON"</formula1>
    </dataValidation>
    <dataValidation allowBlank="1" showErrorMessage="1" promptTitle="Sélectionnez un type d'action" sqref="C4:C24" xr:uid="{57AB53B3-5838-44AD-9334-6D01616EDB21}"/>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694CBFD8-E48E-457E-83E2-5673C19D90A8}">
          <x14:formula1>
            <xm:f>'0-Présentation typeaction'!$H$6</xm:f>
          </x14:formula1>
          <xm:sqref>B4:B24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C7731-D13E-4062-949A-0C74E065BD70}">
  <sheetPr>
    <pageSetUpPr fitToPage="1"/>
  </sheetPr>
  <dimension ref="A1:O25"/>
  <sheetViews>
    <sheetView showGridLines="0" topLeftCell="F1" zoomScale="65" zoomScaleNormal="50" workbookViewId="0">
      <selection activeCell="H36" sqref="H36"/>
    </sheetView>
  </sheetViews>
  <sheetFormatPr defaultColWidth="11.42578125" defaultRowHeight="15" outlineLevelCol="1"/>
  <cols>
    <col min="1" max="1" width="18" bestFit="1" customWidth="1"/>
    <col min="2" max="2" width="56.42578125" style="151" bestFit="1" customWidth="1"/>
    <col min="3" max="3" width="14.85546875" style="151" customWidth="1"/>
    <col min="4" max="4" width="27.42578125" style="115" customWidth="1"/>
    <col min="5" max="5" width="19.42578125" bestFit="1" customWidth="1"/>
    <col min="6" max="6" width="46.42578125" customWidth="1"/>
    <col min="7" max="7" width="42.140625" customWidth="1"/>
    <col min="8" max="8" width="53" customWidth="1" outlineLevel="1"/>
    <col min="9" max="9" width="17" customWidth="1" outlineLevel="1"/>
    <col min="10" max="10" width="31.140625" customWidth="1" outlineLevel="1"/>
    <col min="11" max="11" width="30.42578125" customWidth="1" outlineLevel="1"/>
    <col min="12" max="12" width="42.140625" customWidth="1" outlineLevel="1"/>
    <col min="13" max="13" width="43.42578125" customWidth="1" outlineLevel="1"/>
    <col min="14" max="14" width="77.42578125" customWidth="1" outlineLevel="1"/>
    <col min="15" max="15" width="19.85546875" customWidth="1" outlineLevel="1"/>
  </cols>
  <sheetData>
    <row r="1" spans="1:15" ht="70.5" customHeight="1" thickBot="1">
      <c r="A1" s="985" t="s">
        <v>241</v>
      </c>
      <c r="B1" s="986"/>
      <c r="C1" s="986"/>
      <c r="D1" s="986"/>
      <c r="E1" s="986"/>
      <c r="F1" s="986"/>
      <c r="G1" s="987"/>
      <c r="H1" s="962" t="s">
        <v>242</v>
      </c>
      <c r="I1" s="963"/>
      <c r="J1" s="963"/>
      <c r="K1" s="963"/>
      <c r="L1" s="963"/>
      <c r="M1" s="963"/>
      <c r="N1" s="963"/>
      <c r="O1" s="964"/>
    </row>
    <row r="2" spans="1:15" s="1" customFormat="1" ht="74.45" customHeight="1">
      <c r="A2" s="988" t="s">
        <v>230</v>
      </c>
      <c r="B2" s="300" t="s">
        <v>55</v>
      </c>
      <c r="C2" s="300" t="s">
        <v>231</v>
      </c>
      <c r="D2" s="300" t="s">
        <v>243</v>
      </c>
      <c r="E2" s="300" t="s">
        <v>244</v>
      </c>
      <c r="F2" s="300" t="s">
        <v>233</v>
      </c>
      <c r="G2" s="301" t="s">
        <v>234</v>
      </c>
      <c r="H2" s="302" t="s">
        <v>55</v>
      </c>
      <c r="I2" s="298" t="s">
        <v>231</v>
      </c>
      <c r="J2" s="298" t="s">
        <v>243</v>
      </c>
      <c r="K2" s="298" t="s">
        <v>244</v>
      </c>
      <c r="L2" s="298" t="s">
        <v>235</v>
      </c>
      <c r="M2" s="298" t="s">
        <v>91</v>
      </c>
      <c r="N2" s="298" t="s">
        <v>93</v>
      </c>
      <c r="O2" s="299" t="s">
        <v>165</v>
      </c>
    </row>
    <row r="3" spans="1:15" s="1" customFormat="1" ht="150" customHeight="1">
      <c r="A3" s="912"/>
      <c r="B3" s="22" t="s">
        <v>100</v>
      </c>
      <c r="C3" s="22" t="s">
        <v>236</v>
      </c>
      <c r="D3" s="22" t="s">
        <v>237</v>
      </c>
      <c r="E3" s="22" t="s">
        <v>245</v>
      </c>
      <c r="F3" s="22" t="s">
        <v>246</v>
      </c>
      <c r="G3" s="172" t="s">
        <v>117</v>
      </c>
      <c r="H3" s="226" t="s">
        <v>121</v>
      </c>
      <c r="I3" s="4" t="s">
        <v>121</v>
      </c>
      <c r="J3" s="4" t="s">
        <v>121</v>
      </c>
      <c r="K3" s="4" t="s">
        <v>121</v>
      </c>
      <c r="L3" s="4" t="s">
        <v>247</v>
      </c>
      <c r="M3" s="4" t="s">
        <v>175</v>
      </c>
      <c r="N3" s="4" t="s">
        <v>125</v>
      </c>
      <c r="O3" s="212" t="s">
        <v>116</v>
      </c>
    </row>
    <row r="4" spans="1:15" s="1" customFormat="1" ht="30" customHeight="1">
      <c r="A4" s="173" t="s">
        <v>41</v>
      </c>
      <c r="B4" s="5" t="s">
        <v>30</v>
      </c>
      <c r="C4" s="139">
        <v>1</v>
      </c>
      <c r="D4" s="137" t="s">
        <v>136</v>
      </c>
      <c r="E4" s="137" t="s">
        <v>248</v>
      </c>
      <c r="F4" s="229">
        <f t="shared" ref="F4:F24" si="0">IF(C4="","",IF(D4="NON",IF(E4="Simple",2976*C4,4114*C4),IF(E4="Simple",3650*C4,4554*C4)))</f>
        <v>3650</v>
      </c>
      <c r="G4" s="184"/>
      <c r="H4" s="289" t="str">
        <f t="shared" ref="H4:H24" si="1">IF(B4="","",B4)</f>
        <v>Plantations pérennes</v>
      </c>
      <c r="I4" s="290">
        <f t="shared" ref="I4:I24" si="2">IF(C4="","",C4)</f>
        <v>1</v>
      </c>
      <c r="J4" s="288" t="str">
        <f t="shared" ref="J4:J24" si="3">IF(D4="","",D4)</f>
        <v>OUI</v>
      </c>
      <c r="K4" s="288" t="str">
        <f t="shared" ref="K4:K24" si="4">IF(E4="","",E4)</f>
        <v>Simple</v>
      </c>
      <c r="L4" s="306">
        <f>IF(I4="","",IF(J4="NON",IF(K4="Simple",2976*I4,4114*I4),IF(K4="Simple",3650*I4,4554*I4)))</f>
        <v>3650</v>
      </c>
      <c r="M4" s="137"/>
      <c r="N4" s="23" t="str" cm="1">
        <f t="array" ref="N4">IF(OR(L4="",F4=""),"",_xlfn.IFS(
ROUND(IFERROR(VALUE(TRIM(SUBSTITUTE(L4,CHAR(160),""))),0),2)&gt;
ROUND(IFERROR(VALUE(TRIM(SUBSTITUTE(F4,CHAR(160),""))),0),2),
"KO : Le montant retenu est supérieur au montant présenté. Merci de revoir la ligne de contributions ou plafonner son montant.",
ROUND(IFERROR(VALUE(TRIM(SUBSTITUTE(F4,CHAR(160),""))),0),2)=0,
"",
ROUND(IFERROR(VALUE(TRIM(SUBSTITUTE(L4,CHAR(160),""))),0),2)=
ROUND(IFERROR(VALUE(TRIM(SUBSTITUTE(F4,CHAR(160),""))),0),2),
"OK",
ROUND(IFERROR(VALUE(TRIM(SUBSTITUTE(L4,CHAR(160),""))),0),2)=0,
"Attention : Montant présenté entièrement rejeté.",
ROUND(IFERROR(VALUE(TRIM(SUBSTITUTE(L4,CHAR(160),""))),0),2)&lt;
ROUND(IFERROR(VALUE(TRIM(SUBSTITUTE(F4,CHAR(160),""))),0),2),
"Attention : Montant présenté partiellement rejeté.",
TRUE,""
))</f>
        <v>OK</v>
      </c>
      <c r="O4" s="310">
        <f>IF(OR(F4="",L4=""),"",IFERROR(VALUE(TRIM(SUBSTITUTE(F4,CHAR(160),""))),0)-IFERROR(VALUE(TRIM(SUBSTITUTE(L4,CHAR(160),""))),0))</f>
        <v>0</v>
      </c>
    </row>
    <row r="5" spans="1:15" s="1" customFormat="1" ht="15" customHeight="1">
      <c r="A5" s="175">
        <v>1</v>
      </c>
      <c r="B5" s="7"/>
      <c r="C5" s="40"/>
      <c r="D5" s="38"/>
      <c r="E5" s="38"/>
      <c r="F5" s="275" t="str">
        <f t="shared" si="0"/>
        <v/>
      </c>
      <c r="G5" s="176"/>
      <c r="H5" s="223" t="str">
        <f t="shared" si="1"/>
        <v/>
      </c>
      <c r="I5" s="162" t="str">
        <f t="shared" si="2"/>
        <v/>
      </c>
      <c r="J5" s="224" t="str">
        <f t="shared" si="3"/>
        <v/>
      </c>
      <c r="K5" s="224" t="str">
        <f t="shared" si="4"/>
        <v/>
      </c>
      <c r="L5" s="307" t="str">
        <f t="shared" ref="L5:L24" si="5">IF(I5="","",IF(J5="NON",IF(K5="Simple",2976*I5,4114*I5),IF(K5="Simple",3650*I5,4554*I5)))</f>
        <v/>
      </c>
      <c r="M5" s="38"/>
      <c r="N5" s="23" t="str" cm="1">
        <f t="array" ref="N5">IF(OR(L5="",F5=""),"",_xlfn.IFS(
ROUND(IFERROR(VALUE(TRIM(SUBSTITUTE(L5,CHAR(160),""))),0),2)&gt;
ROUND(IFERROR(VALUE(TRIM(SUBSTITUTE(F5,CHAR(160),""))),0),2),
"KO : Le montant retenu est supérieur au montant présenté. Merci de revoir la ligne de contributions ou plafonner son montant.",
ROUND(IFERROR(VALUE(TRIM(SUBSTITUTE(F5,CHAR(160),""))),0),2)=0,
"",
ROUND(IFERROR(VALUE(TRIM(SUBSTITUTE(L5,CHAR(160),""))),0),2)=
ROUND(IFERROR(VALUE(TRIM(SUBSTITUTE(F5,CHAR(160),""))),0),2),
"OK",
ROUND(IFERROR(VALUE(TRIM(SUBSTITUTE(L5,CHAR(160),""))),0),2)=0,
"Attention : Montant présenté entièrement rejeté.",
ROUND(IFERROR(VALUE(TRIM(SUBSTITUTE(L5,CHAR(160),""))),0),2)&lt;
ROUND(IFERROR(VALUE(TRIM(SUBSTITUTE(F5,CHAR(160),""))),0),2),
"Attention : Montant présenté partiellement rejeté.",
TRUE,""
))</f>
        <v/>
      </c>
      <c r="O5" s="218" t="str">
        <f>IF(OR(F5="",L5=""),"",IFERROR(VALUE(TRIM(SUBSTITUTE(F5,CHAR(160),""))),0)-IFERROR(VALUE(TRIM(SUBSTITUTE(L5,CHAR(160),""))),0))</f>
        <v/>
      </c>
    </row>
    <row r="6" spans="1:15" s="1" customFormat="1" ht="15" customHeight="1">
      <c r="A6" s="175">
        <v>2</v>
      </c>
      <c r="B6" s="7"/>
      <c r="C6" s="40"/>
      <c r="D6" s="38"/>
      <c r="E6" s="38"/>
      <c r="F6" s="275" t="str">
        <f t="shared" si="0"/>
        <v/>
      </c>
      <c r="G6" s="176"/>
      <c r="H6" s="223" t="str">
        <f t="shared" si="1"/>
        <v/>
      </c>
      <c r="I6" s="162" t="str">
        <f t="shared" si="2"/>
        <v/>
      </c>
      <c r="J6" s="224" t="str">
        <f t="shared" si="3"/>
        <v/>
      </c>
      <c r="K6" s="224" t="str">
        <f t="shared" si="4"/>
        <v/>
      </c>
      <c r="L6" s="307" t="str">
        <f t="shared" si="5"/>
        <v/>
      </c>
      <c r="M6" s="38"/>
      <c r="N6" s="23" t="str" cm="1">
        <f t="array" ref="N6">IF(OR(L6="",F6=""),"",_xlfn.IFS(
ROUND(IFERROR(VALUE(TRIM(SUBSTITUTE(L6,CHAR(160),""))),0),2)&gt;
ROUND(IFERROR(VALUE(TRIM(SUBSTITUTE(F6,CHAR(160),""))),0),2),
"KO : Le montant retenu est supérieur au montant présenté. Merci de revoir la ligne de contributions ou plafonner son montant.",
ROUND(IFERROR(VALUE(TRIM(SUBSTITUTE(F6,CHAR(160),""))),0),2)=0,
"",
ROUND(IFERROR(VALUE(TRIM(SUBSTITUTE(L6,CHAR(160),""))),0),2)=
ROUND(IFERROR(VALUE(TRIM(SUBSTITUTE(F6,CHAR(160),""))),0),2),
"OK",
ROUND(IFERROR(VALUE(TRIM(SUBSTITUTE(L6,CHAR(160),""))),0),2)=0,
"Attention : Montant présenté entièrement rejeté.",
ROUND(IFERROR(VALUE(TRIM(SUBSTITUTE(L6,CHAR(160),""))),0),2)&lt;
ROUND(IFERROR(VALUE(TRIM(SUBSTITUTE(F6,CHAR(160),""))),0),2),
"Attention : Montant présenté partiellement rejeté.",
TRUE,""
))</f>
        <v/>
      </c>
      <c r="O6" s="218" t="str">
        <f t="shared" ref="O6:O24" si="6">IF(OR(F6="",L6=""),"",IFERROR(VALUE(TRIM(SUBSTITUTE(F6,CHAR(160),""))),0)-IFERROR(VALUE(TRIM(SUBSTITUTE(L6,CHAR(160),""))),0))</f>
        <v/>
      </c>
    </row>
    <row r="7" spans="1:15" s="1" customFormat="1" ht="15" customHeight="1">
      <c r="A7" s="175">
        <v>3</v>
      </c>
      <c r="B7" s="7"/>
      <c r="C7" s="40"/>
      <c r="D7" s="38"/>
      <c r="E7" s="38"/>
      <c r="F7" s="275" t="str">
        <f t="shared" si="0"/>
        <v/>
      </c>
      <c r="G7" s="176"/>
      <c r="H7" s="223" t="str">
        <f t="shared" si="1"/>
        <v/>
      </c>
      <c r="I7" s="162" t="str">
        <f t="shared" si="2"/>
        <v/>
      </c>
      <c r="J7" s="224" t="str">
        <f t="shared" si="3"/>
        <v/>
      </c>
      <c r="K7" s="224" t="str">
        <f t="shared" si="4"/>
        <v/>
      </c>
      <c r="L7" s="307" t="str">
        <f t="shared" si="5"/>
        <v/>
      </c>
      <c r="M7" s="38"/>
      <c r="N7" s="23" t="str" cm="1">
        <f t="array" ref="N7">IF(OR(L7="",F7=""),"",_xlfn.IFS(
ROUND(IFERROR(VALUE(TRIM(SUBSTITUTE(L7,CHAR(160),""))),0),2)&gt;
ROUND(IFERROR(VALUE(TRIM(SUBSTITUTE(F7,CHAR(160),""))),0),2),
"KO : Le montant retenu est supérieur au montant présenté. Merci de revoir la ligne de contributions ou plafonner son montant.",
ROUND(IFERROR(VALUE(TRIM(SUBSTITUTE(F7,CHAR(160),""))),0),2)=0,
"",
ROUND(IFERROR(VALUE(TRIM(SUBSTITUTE(L7,CHAR(160),""))),0),2)=
ROUND(IFERROR(VALUE(TRIM(SUBSTITUTE(F7,CHAR(160),""))),0),2),
"OK",
ROUND(IFERROR(VALUE(TRIM(SUBSTITUTE(L7,CHAR(160),""))),0),2)=0,
"Attention : Montant présenté entièrement rejeté.",
ROUND(IFERROR(VALUE(TRIM(SUBSTITUTE(L7,CHAR(160),""))),0),2)&lt;
ROUND(IFERROR(VALUE(TRIM(SUBSTITUTE(F7,CHAR(160),""))),0),2),
"Attention : Montant présenté partiellement rejeté.",
TRUE,""
))</f>
        <v/>
      </c>
      <c r="O7" s="218" t="str">
        <f t="shared" si="6"/>
        <v/>
      </c>
    </row>
    <row r="8" spans="1:15" s="1" customFormat="1" ht="15" customHeight="1">
      <c r="A8" s="175">
        <v>4</v>
      </c>
      <c r="B8" s="7"/>
      <c r="C8" s="40"/>
      <c r="D8" s="38"/>
      <c r="E8" s="38"/>
      <c r="F8" s="275" t="str">
        <f t="shared" si="0"/>
        <v/>
      </c>
      <c r="G8" s="176"/>
      <c r="H8" s="223" t="str">
        <f t="shared" si="1"/>
        <v/>
      </c>
      <c r="I8" s="162" t="str">
        <f t="shared" si="2"/>
        <v/>
      </c>
      <c r="J8" s="224" t="str">
        <f t="shared" si="3"/>
        <v/>
      </c>
      <c r="K8" s="224" t="str">
        <f t="shared" si="4"/>
        <v/>
      </c>
      <c r="L8" s="307" t="str">
        <f t="shared" si="5"/>
        <v/>
      </c>
      <c r="M8" s="38"/>
      <c r="N8" s="23" t="str" cm="1">
        <f t="array" ref="N8">IF(OR(L8="",F8=""),"",_xlfn.IFS(
ROUND(IFERROR(VALUE(TRIM(SUBSTITUTE(L8,CHAR(160),""))),0),2)&gt;
ROUND(IFERROR(VALUE(TRIM(SUBSTITUTE(F8,CHAR(160),""))),0),2),
"KO : Le montant retenu est supérieur au montant présenté. Merci de revoir la ligne de contributions ou plafonner son montant.",
ROUND(IFERROR(VALUE(TRIM(SUBSTITUTE(F8,CHAR(160),""))),0),2)=0,
"",
ROUND(IFERROR(VALUE(TRIM(SUBSTITUTE(L8,CHAR(160),""))),0),2)=
ROUND(IFERROR(VALUE(TRIM(SUBSTITUTE(F8,CHAR(160),""))),0),2),
"OK",
ROUND(IFERROR(VALUE(TRIM(SUBSTITUTE(L8,CHAR(160),""))),0),2)=0,
"Attention : Montant présenté entièrement rejeté.",
ROUND(IFERROR(VALUE(TRIM(SUBSTITUTE(L8,CHAR(160),""))),0),2)&lt;
ROUND(IFERROR(VALUE(TRIM(SUBSTITUTE(F8,CHAR(160),""))),0),2),
"Attention : Montant présenté partiellement rejeté.",
TRUE,""
))</f>
        <v/>
      </c>
      <c r="O8" s="218" t="str">
        <f t="shared" si="6"/>
        <v/>
      </c>
    </row>
    <row r="9" spans="1:15" s="1" customFormat="1" ht="15" customHeight="1">
      <c r="A9" s="175">
        <v>5</v>
      </c>
      <c r="B9" s="7"/>
      <c r="C9" s="40"/>
      <c r="D9" s="38"/>
      <c r="E9" s="38"/>
      <c r="F9" s="275" t="str">
        <f t="shared" si="0"/>
        <v/>
      </c>
      <c r="G9" s="176"/>
      <c r="H9" s="223" t="str">
        <f t="shared" si="1"/>
        <v/>
      </c>
      <c r="I9" s="162" t="str">
        <f t="shared" si="2"/>
        <v/>
      </c>
      <c r="J9" s="224" t="str">
        <f t="shared" si="3"/>
        <v/>
      </c>
      <c r="K9" s="224" t="str">
        <f t="shared" si="4"/>
        <v/>
      </c>
      <c r="L9" s="307" t="str">
        <f t="shared" si="5"/>
        <v/>
      </c>
      <c r="M9" s="38"/>
      <c r="N9" s="23" t="str" cm="1">
        <f t="array" ref="N9">IF(OR(L9="",F9=""),"",_xlfn.IFS(
ROUND(IFERROR(VALUE(TRIM(SUBSTITUTE(L9,CHAR(160),""))),0),2)&gt;
ROUND(IFERROR(VALUE(TRIM(SUBSTITUTE(F9,CHAR(160),""))),0),2),
"KO : Le montant retenu est supérieur au montant présenté. Merci de revoir la ligne de contributions ou plafonner son montant.",
ROUND(IFERROR(VALUE(TRIM(SUBSTITUTE(F9,CHAR(160),""))),0),2)=0,
"",
ROUND(IFERROR(VALUE(TRIM(SUBSTITUTE(L9,CHAR(160),""))),0),2)=
ROUND(IFERROR(VALUE(TRIM(SUBSTITUTE(F9,CHAR(160),""))),0),2),
"OK",
ROUND(IFERROR(VALUE(TRIM(SUBSTITUTE(L9,CHAR(160),""))),0),2)=0,
"Attention : Montant présenté entièrement rejeté.",
ROUND(IFERROR(VALUE(TRIM(SUBSTITUTE(L9,CHAR(160),""))),0),2)&lt;
ROUND(IFERROR(VALUE(TRIM(SUBSTITUTE(F9,CHAR(160),""))),0),2),
"Attention : Montant présenté partiellement rejeté.",
TRUE,""
))</f>
        <v/>
      </c>
      <c r="O9" s="218" t="str">
        <f t="shared" si="6"/>
        <v/>
      </c>
    </row>
    <row r="10" spans="1:15" s="1" customFormat="1" ht="15" customHeight="1">
      <c r="A10" s="175">
        <v>6</v>
      </c>
      <c r="B10" s="7"/>
      <c r="C10" s="40"/>
      <c r="D10" s="38"/>
      <c r="E10" s="38"/>
      <c r="F10" s="275" t="str">
        <f t="shared" si="0"/>
        <v/>
      </c>
      <c r="G10" s="176"/>
      <c r="H10" s="223" t="str">
        <f t="shared" si="1"/>
        <v/>
      </c>
      <c r="I10" s="162" t="str">
        <f t="shared" si="2"/>
        <v/>
      </c>
      <c r="J10" s="224" t="str">
        <f t="shared" si="3"/>
        <v/>
      </c>
      <c r="K10" s="224" t="str">
        <f t="shared" si="4"/>
        <v/>
      </c>
      <c r="L10" s="307" t="str">
        <f t="shared" si="5"/>
        <v/>
      </c>
      <c r="M10" s="38"/>
      <c r="N10" s="23" t="str" cm="1">
        <f t="array" ref="N10">IF(OR(L10="",F10=""),"",_xlfn.IFS(
ROUND(IFERROR(VALUE(TRIM(SUBSTITUTE(L10,CHAR(160),""))),0),2)&gt;
ROUND(IFERROR(VALUE(TRIM(SUBSTITUTE(F10,CHAR(160),""))),0),2),
"KO : Le montant retenu est supérieur au montant présenté. Merci de revoir la ligne de contributions ou plafonner son montant.",
ROUND(IFERROR(VALUE(TRIM(SUBSTITUTE(F10,CHAR(160),""))),0),2)=0,
"",
ROUND(IFERROR(VALUE(TRIM(SUBSTITUTE(L10,CHAR(160),""))),0),2)=
ROUND(IFERROR(VALUE(TRIM(SUBSTITUTE(F10,CHAR(160),""))),0),2),
"OK",
ROUND(IFERROR(VALUE(TRIM(SUBSTITUTE(L10,CHAR(160),""))),0),2)=0,
"Attention : Montant présenté entièrement rejeté.",
ROUND(IFERROR(VALUE(TRIM(SUBSTITUTE(L10,CHAR(160),""))),0),2)&lt;
ROUND(IFERROR(VALUE(TRIM(SUBSTITUTE(F10,CHAR(160),""))),0),2),
"Attention : Montant présenté partiellement rejeté.",
TRUE,""
))</f>
        <v/>
      </c>
      <c r="O10" s="218" t="str">
        <f t="shared" si="6"/>
        <v/>
      </c>
    </row>
    <row r="11" spans="1:15" s="1" customFormat="1" ht="15" customHeight="1">
      <c r="A11" s="175">
        <v>7</v>
      </c>
      <c r="B11" s="7"/>
      <c r="C11" s="40"/>
      <c r="D11" s="38"/>
      <c r="E11" s="38"/>
      <c r="F11" s="275" t="str">
        <f t="shared" si="0"/>
        <v/>
      </c>
      <c r="G11" s="176"/>
      <c r="H11" s="223" t="str">
        <f t="shared" si="1"/>
        <v/>
      </c>
      <c r="I11" s="162" t="str">
        <f t="shared" si="2"/>
        <v/>
      </c>
      <c r="J11" s="224" t="str">
        <f t="shared" si="3"/>
        <v/>
      </c>
      <c r="K11" s="224" t="str">
        <f t="shared" si="4"/>
        <v/>
      </c>
      <c r="L11" s="307" t="str">
        <f t="shared" si="5"/>
        <v/>
      </c>
      <c r="M11" s="38"/>
      <c r="N11" s="23" t="str" cm="1">
        <f t="array" ref="N11">IF(OR(L11="",F11=""),"",_xlfn.IFS(
ROUND(IFERROR(VALUE(TRIM(SUBSTITUTE(L11,CHAR(160),""))),0),2)&gt;
ROUND(IFERROR(VALUE(TRIM(SUBSTITUTE(F11,CHAR(160),""))),0),2),
"KO : Le montant retenu est supérieur au montant présenté. Merci de revoir la ligne de contributions ou plafonner son montant.",
ROUND(IFERROR(VALUE(TRIM(SUBSTITUTE(F11,CHAR(160),""))),0),2)=0,
"",
ROUND(IFERROR(VALUE(TRIM(SUBSTITUTE(L11,CHAR(160),""))),0),2)=
ROUND(IFERROR(VALUE(TRIM(SUBSTITUTE(F11,CHAR(160),""))),0),2),
"OK",
ROUND(IFERROR(VALUE(TRIM(SUBSTITUTE(L11,CHAR(160),""))),0),2)=0,
"Attention : Montant présenté entièrement rejeté.",
ROUND(IFERROR(VALUE(TRIM(SUBSTITUTE(L11,CHAR(160),""))),0),2)&lt;
ROUND(IFERROR(VALUE(TRIM(SUBSTITUTE(F11,CHAR(160),""))),0),2),
"Attention : Montant présenté partiellement rejeté.",
TRUE,""
))</f>
        <v/>
      </c>
      <c r="O11" s="218" t="str">
        <f t="shared" si="6"/>
        <v/>
      </c>
    </row>
    <row r="12" spans="1:15" s="1" customFormat="1" ht="15" customHeight="1">
      <c r="A12" s="175">
        <v>8</v>
      </c>
      <c r="B12" s="7"/>
      <c r="C12" s="40"/>
      <c r="D12" s="38"/>
      <c r="E12" s="38"/>
      <c r="F12" s="275" t="str">
        <f t="shared" si="0"/>
        <v/>
      </c>
      <c r="G12" s="176"/>
      <c r="H12" s="223" t="str">
        <f t="shared" si="1"/>
        <v/>
      </c>
      <c r="I12" s="162" t="str">
        <f t="shared" si="2"/>
        <v/>
      </c>
      <c r="J12" s="224" t="str">
        <f t="shared" si="3"/>
        <v/>
      </c>
      <c r="K12" s="224" t="str">
        <f t="shared" si="4"/>
        <v/>
      </c>
      <c r="L12" s="307" t="str">
        <f t="shared" si="5"/>
        <v/>
      </c>
      <c r="M12" s="38"/>
      <c r="N12" s="23" t="str" cm="1">
        <f t="array" ref="N12">IF(OR(L12="",F12=""),"",_xlfn.IFS(
ROUND(IFERROR(VALUE(TRIM(SUBSTITUTE(L12,CHAR(160),""))),0),2)&gt;
ROUND(IFERROR(VALUE(TRIM(SUBSTITUTE(F12,CHAR(160),""))),0),2),
"KO : Le montant retenu est supérieur au montant présenté. Merci de revoir la ligne de contributions ou plafonner son montant.",
ROUND(IFERROR(VALUE(TRIM(SUBSTITUTE(F12,CHAR(160),""))),0),2)=0,
"",
ROUND(IFERROR(VALUE(TRIM(SUBSTITUTE(L12,CHAR(160),""))),0),2)=
ROUND(IFERROR(VALUE(TRIM(SUBSTITUTE(F12,CHAR(160),""))),0),2),
"OK",
ROUND(IFERROR(VALUE(TRIM(SUBSTITUTE(L12,CHAR(160),""))),0),2)=0,
"Attention : Montant présenté entièrement rejeté.",
ROUND(IFERROR(VALUE(TRIM(SUBSTITUTE(L12,CHAR(160),""))),0),2)&lt;
ROUND(IFERROR(VALUE(TRIM(SUBSTITUTE(F12,CHAR(160),""))),0),2),
"Attention : Montant présenté partiellement rejeté.",
TRUE,""
))</f>
        <v/>
      </c>
      <c r="O12" s="218" t="str">
        <f t="shared" si="6"/>
        <v/>
      </c>
    </row>
    <row r="13" spans="1:15" s="1" customFormat="1" ht="15" customHeight="1">
      <c r="A13" s="175">
        <v>9</v>
      </c>
      <c r="B13" s="7"/>
      <c r="C13" s="40"/>
      <c r="D13" s="38"/>
      <c r="E13" s="38"/>
      <c r="F13" s="275" t="str">
        <f t="shared" si="0"/>
        <v/>
      </c>
      <c r="G13" s="176"/>
      <c r="H13" s="223" t="str">
        <f t="shared" si="1"/>
        <v/>
      </c>
      <c r="I13" s="162" t="str">
        <f t="shared" si="2"/>
        <v/>
      </c>
      <c r="J13" s="224" t="str">
        <f t="shared" si="3"/>
        <v/>
      </c>
      <c r="K13" s="224" t="str">
        <f t="shared" si="4"/>
        <v/>
      </c>
      <c r="L13" s="307" t="str">
        <f t="shared" si="5"/>
        <v/>
      </c>
      <c r="M13" s="38"/>
      <c r="N13" s="23" t="str" cm="1">
        <f t="array" ref="N13">IF(OR(L13="",F13=""),"",_xlfn.IFS(
ROUND(IFERROR(VALUE(TRIM(SUBSTITUTE(L13,CHAR(160),""))),0),2)&gt;
ROUND(IFERROR(VALUE(TRIM(SUBSTITUTE(F13,CHAR(160),""))),0),2),
"KO : Le montant retenu est supérieur au montant présenté. Merci de revoir la ligne de contributions ou plafonner son montant.",
ROUND(IFERROR(VALUE(TRIM(SUBSTITUTE(F13,CHAR(160),""))),0),2)=0,
"",
ROUND(IFERROR(VALUE(TRIM(SUBSTITUTE(L13,CHAR(160),""))),0),2)=
ROUND(IFERROR(VALUE(TRIM(SUBSTITUTE(F13,CHAR(160),""))),0),2),
"OK",
ROUND(IFERROR(VALUE(TRIM(SUBSTITUTE(L13,CHAR(160),""))),0),2)=0,
"Attention : Montant présenté entièrement rejeté.",
ROUND(IFERROR(VALUE(TRIM(SUBSTITUTE(L13,CHAR(160),""))),0),2)&lt;
ROUND(IFERROR(VALUE(TRIM(SUBSTITUTE(F13,CHAR(160),""))),0),2),
"Attention : Montant présenté partiellement rejeté.",
TRUE,""
))</f>
        <v/>
      </c>
      <c r="O13" s="218" t="str">
        <f t="shared" si="6"/>
        <v/>
      </c>
    </row>
    <row r="14" spans="1:15" s="1" customFormat="1" ht="15" customHeight="1">
      <c r="A14" s="175">
        <v>10</v>
      </c>
      <c r="B14" s="7"/>
      <c r="C14" s="40"/>
      <c r="D14" s="38"/>
      <c r="E14" s="38"/>
      <c r="F14" s="275" t="str">
        <f t="shared" si="0"/>
        <v/>
      </c>
      <c r="G14" s="176"/>
      <c r="H14" s="223" t="str">
        <f t="shared" si="1"/>
        <v/>
      </c>
      <c r="I14" s="162" t="str">
        <f t="shared" si="2"/>
        <v/>
      </c>
      <c r="J14" s="224" t="str">
        <f t="shared" si="3"/>
        <v/>
      </c>
      <c r="K14" s="224" t="str">
        <f t="shared" si="4"/>
        <v/>
      </c>
      <c r="L14" s="307" t="str">
        <f t="shared" si="5"/>
        <v/>
      </c>
      <c r="M14" s="38"/>
      <c r="N14" s="23" t="str" cm="1">
        <f t="array" ref="N14">IF(OR(L14="",F14=""),"",_xlfn.IFS(
ROUND(IFERROR(VALUE(TRIM(SUBSTITUTE(L14,CHAR(160),""))),0),2)&gt;
ROUND(IFERROR(VALUE(TRIM(SUBSTITUTE(F14,CHAR(160),""))),0),2),
"KO : Le montant retenu est supérieur au montant présenté. Merci de revoir la ligne de contributions ou plafonner son montant.",
ROUND(IFERROR(VALUE(TRIM(SUBSTITUTE(F14,CHAR(160),""))),0),2)=0,
"",
ROUND(IFERROR(VALUE(TRIM(SUBSTITUTE(L14,CHAR(160),""))),0),2)=
ROUND(IFERROR(VALUE(TRIM(SUBSTITUTE(F14,CHAR(160),""))),0),2),
"OK",
ROUND(IFERROR(VALUE(TRIM(SUBSTITUTE(L14,CHAR(160),""))),0),2)=0,
"Attention : Montant présenté entièrement rejeté.",
ROUND(IFERROR(VALUE(TRIM(SUBSTITUTE(L14,CHAR(160),""))),0),2)&lt;
ROUND(IFERROR(VALUE(TRIM(SUBSTITUTE(F14,CHAR(160),""))),0),2),
"Attention : Montant présenté partiellement rejeté.",
TRUE,""
))</f>
        <v/>
      </c>
      <c r="O14" s="218" t="str">
        <f t="shared" si="6"/>
        <v/>
      </c>
    </row>
    <row r="15" spans="1:15" s="1" customFormat="1" ht="15" customHeight="1">
      <c r="A15" s="175">
        <v>11</v>
      </c>
      <c r="B15" s="7"/>
      <c r="C15" s="40"/>
      <c r="D15" s="38"/>
      <c r="E15" s="38"/>
      <c r="F15" s="275" t="str">
        <f t="shared" si="0"/>
        <v/>
      </c>
      <c r="G15" s="176"/>
      <c r="H15" s="223" t="str">
        <f t="shared" si="1"/>
        <v/>
      </c>
      <c r="I15" s="162" t="str">
        <f t="shared" si="2"/>
        <v/>
      </c>
      <c r="J15" s="224" t="str">
        <f t="shared" si="3"/>
        <v/>
      </c>
      <c r="K15" s="224" t="str">
        <f t="shared" si="4"/>
        <v/>
      </c>
      <c r="L15" s="307" t="str">
        <f t="shared" si="5"/>
        <v/>
      </c>
      <c r="M15" s="38"/>
      <c r="N15" s="23" t="str" cm="1">
        <f t="array" ref="N15">IF(OR(L15="",F15=""),"",_xlfn.IFS(
ROUND(IFERROR(VALUE(TRIM(SUBSTITUTE(L15,CHAR(160),""))),0),2)&gt;
ROUND(IFERROR(VALUE(TRIM(SUBSTITUTE(F15,CHAR(160),""))),0),2),
"KO : Le montant retenu est supérieur au montant présenté. Merci de revoir la ligne de contributions ou plafonner son montant.",
ROUND(IFERROR(VALUE(TRIM(SUBSTITUTE(F15,CHAR(160),""))),0),2)=0,
"",
ROUND(IFERROR(VALUE(TRIM(SUBSTITUTE(L15,CHAR(160),""))),0),2)=
ROUND(IFERROR(VALUE(TRIM(SUBSTITUTE(F15,CHAR(160),""))),0),2),
"OK",
ROUND(IFERROR(VALUE(TRIM(SUBSTITUTE(L15,CHAR(160),""))),0),2)=0,
"Attention : Montant présenté entièrement rejeté.",
ROUND(IFERROR(VALUE(TRIM(SUBSTITUTE(L15,CHAR(160),""))),0),2)&lt;
ROUND(IFERROR(VALUE(TRIM(SUBSTITUTE(F15,CHAR(160),""))),0),2),
"Attention : Montant présenté partiellement rejeté.",
TRUE,""
))</f>
        <v/>
      </c>
      <c r="O15" s="218" t="str">
        <f t="shared" si="6"/>
        <v/>
      </c>
    </row>
    <row r="16" spans="1:15" s="1" customFormat="1" ht="15" customHeight="1">
      <c r="A16" s="175">
        <v>12</v>
      </c>
      <c r="B16" s="7"/>
      <c r="C16" s="40"/>
      <c r="D16" s="38"/>
      <c r="E16" s="38"/>
      <c r="F16" s="275" t="str">
        <f t="shared" si="0"/>
        <v/>
      </c>
      <c r="G16" s="176"/>
      <c r="H16" s="223" t="str">
        <f t="shared" si="1"/>
        <v/>
      </c>
      <c r="I16" s="162" t="str">
        <f t="shared" si="2"/>
        <v/>
      </c>
      <c r="J16" s="224" t="str">
        <f t="shared" si="3"/>
        <v/>
      </c>
      <c r="K16" s="224" t="str">
        <f t="shared" si="4"/>
        <v/>
      </c>
      <c r="L16" s="307" t="str">
        <f t="shared" si="5"/>
        <v/>
      </c>
      <c r="M16" s="38"/>
      <c r="N16" s="23" t="str" cm="1">
        <f t="array" ref="N16">IF(OR(L16="",F16=""),"",_xlfn.IFS(
ROUND(IFERROR(VALUE(TRIM(SUBSTITUTE(L16,CHAR(160),""))),0),2)&gt;
ROUND(IFERROR(VALUE(TRIM(SUBSTITUTE(F16,CHAR(160),""))),0),2),
"KO : Le montant retenu est supérieur au montant présenté. Merci de revoir la ligne de contributions ou plafonner son montant.",
ROUND(IFERROR(VALUE(TRIM(SUBSTITUTE(F16,CHAR(160),""))),0),2)=0,
"",
ROUND(IFERROR(VALUE(TRIM(SUBSTITUTE(L16,CHAR(160),""))),0),2)=
ROUND(IFERROR(VALUE(TRIM(SUBSTITUTE(F16,CHAR(160),""))),0),2),
"OK",
ROUND(IFERROR(VALUE(TRIM(SUBSTITUTE(L16,CHAR(160),""))),0),2)=0,
"Attention : Montant présenté entièrement rejeté.",
ROUND(IFERROR(VALUE(TRIM(SUBSTITUTE(L16,CHAR(160),""))),0),2)&lt;
ROUND(IFERROR(VALUE(TRIM(SUBSTITUTE(F16,CHAR(160),""))),0),2),
"Attention : Montant présenté partiellement rejeté.",
TRUE,""
))</f>
        <v/>
      </c>
      <c r="O16" s="218" t="str">
        <f t="shared" si="6"/>
        <v/>
      </c>
    </row>
    <row r="17" spans="1:15" s="1" customFormat="1" ht="15" customHeight="1">
      <c r="A17" s="175">
        <v>13</v>
      </c>
      <c r="B17" s="7"/>
      <c r="C17" s="40"/>
      <c r="D17" s="38"/>
      <c r="E17" s="38"/>
      <c r="F17" s="275" t="str">
        <f t="shared" si="0"/>
        <v/>
      </c>
      <c r="G17" s="176"/>
      <c r="H17" s="223" t="str">
        <f t="shared" si="1"/>
        <v/>
      </c>
      <c r="I17" s="162" t="str">
        <f t="shared" si="2"/>
        <v/>
      </c>
      <c r="J17" s="224" t="str">
        <f t="shared" si="3"/>
        <v/>
      </c>
      <c r="K17" s="224" t="str">
        <f t="shared" si="4"/>
        <v/>
      </c>
      <c r="L17" s="307" t="str">
        <f t="shared" si="5"/>
        <v/>
      </c>
      <c r="M17" s="38"/>
      <c r="N17" s="23" t="str" cm="1">
        <f t="array" ref="N17">IF(OR(L17="",F17=""),"",_xlfn.IFS(
ROUND(IFERROR(VALUE(TRIM(SUBSTITUTE(L17,CHAR(160),""))),0),2)&gt;
ROUND(IFERROR(VALUE(TRIM(SUBSTITUTE(F17,CHAR(160),""))),0),2),
"KO : Le montant retenu est supérieur au montant présenté. Merci de revoir la ligne de contributions ou plafonner son montant.",
ROUND(IFERROR(VALUE(TRIM(SUBSTITUTE(F17,CHAR(160),""))),0),2)=0,
"",
ROUND(IFERROR(VALUE(TRIM(SUBSTITUTE(L17,CHAR(160),""))),0),2)=
ROUND(IFERROR(VALUE(TRIM(SUBSTITUTE(F17,CHAR(160),""))),0),2),
"OK",
ROUND(IFERROR(VALUE(TRIM(SUBSTITUTE(L17,CHAR(160),""))),0),2)=0,
"Attention : Montant présenté entièrement rejeté.",
ROUND(IFERROR(VALUE(TRIM(SUBSTITUTE(L17,CHAR(160),""))),0),2)&lt;
ROUND(IFERROR(VALUE(TRIM(SUBSTITUTE(F17,CHAR(160),""))),0),2),
"Attention : Montant présenté partiellement rejeté.",
TRUE,""
))</f>
        <v/>
      </c>
      <c r="O17" s="218" t="str">
        <f t="shared" si="6"/>
        <v/>
      </c>
    </row>
    <row r="18" spans="1:15" s="1" customFormat="1" ht="15" customHeight="1">
      <c r="A18" s="175">
        <v>14</v>
      </c>
      <c r="B18" s="7"/>
      <c r="C18" s="40"/>
      <c r="D18" s="38"/>
      <c r="E18" s="38"/>
      <c r="F18" s="275" t="str">
        <f t="shared" si="0"/>
        <v/>
      </c>
      <c r="G18" s="176"/>
      <c r="H18" s="223" t="str">
        <f t="shared" si="1"/>
        <v/>
      </c>
      <c r="I18" s="162" t="str">
        <f t="shared" si="2"/>
        <v/>
      </c>
      <c r="J18" s="224" t="str">
        <f t="shared" si="3"/>
        <v/>
      </c>
      <c r="K18" s="224" t="str">
        <f t="shared" si="4"/>
        <v/>
      </c>
      <c r="L18" s="307" t="str">
        <f t="shared" si="5"/>
        <v/>
      </c>
      <c r="M18" s="38"/>
      <c r="N18" s="23" t="str" cm="1">
        <f t="array" ref="N18">IF(OR(L18="",F18=""),"",_xlfn.IFS(
ROUND(IFERROR(VALUE(TRIM(SUBSTITUTE(L18,CHAR(160),""))),0),2)&gt;
ROUND(IFERROR(VALUE(TRIM(SUBSTITUTE(F18,CHAR(160),""))),0),2),
"KO : Le montant retenu est supérieur au montant présenté. Merci de revoir la ligne de contributions ou plafonner son montant.",
ROUND(IFERROR(VALUE(TRIM(SUBSTITUTE(F18,CHAR(160),""))),0),2)=0,
"",
ROUND(IFERROR(VALUE(TRIM(SUBSTITUTE(L18,CHAR(160),""))),0),2)=
ROUND(IFERROR(VALUE(TRIM(SUBSTITUTE(F18,CHAR(160),""))),0),2),
"OK",
ROUND(IFERROR(VALUE(TRIM(SUBSTITUTE(L18,CHAR(160),""))),0),2)=0,
"Attention : Montant présenté entièrement rejeté.",
ROUND(IFERROR(VALUE(TRIM(SUBSTITUTE(L18,CHAR(160),""))),0),2)&lt;
ROUND(IFERROR(VALUE(TRIM(SUBSTITUTE(F18,CHAR(160),""))),0),2),
"Attention : Montant présenté partiellement rejeté.",
TRUE,""
))</f>
        <v/>
      </c>
      <c r="O18" s="218" t="str">
        <f t="shared" si="6"/>
        <v/>
      </c>
    </row>
    <row r="19" spans="1:15" s="1" customFormat="1" ht="15" customHeight="1">
      <c r="A19" s="175">
        <v>15</v>
      </c>
      <c r="B19" s="7"/>
      <c r="C19" s="40"/>
      <c r="D19" s="38"/>
      <c r="E19" s="38"/>
      <c r="F19" s="275" t="str">
        <f t="shared" si="0"/>
        <v/>
      </c>
      <c r="G19" s="176"/>
      <c r="H19" s="223" t="str">
        <f t="shared" si="1"/>
        <v/>
      </c>
      <c r="I19" s="162" t="str">
        <f t="shared" si="2"/>
        <v/>
      </c>
      <c r="J19" s="224" t="str">
        <f t="shared" si="3"/>
        <v/>
      </c>
      <c r="K19" s="224" t="str">
        <f t="shared" si="4"/>
        <v/>
      </c>
      <c r="L19" s="307" t="str">
        <f t="shared" si="5"/>
        <v/>
      </c>
      <c r="M19" s="38"/>
      <c r="N19" s="23" t="str" cm="1">
        <f t="array" ref="N19">IF(OR(L19="",F19=""),"",_xlfn.IFS(
ROUND(IFERROR(VALUE(TRIM(SUBSTITUTE(L19,CHAR(160),""))),0),2)&gt;
ROUND(IFERROR(VALUE(TRIM(SUBSTITUTE(F19,CHAR(160),""))),0),2),
"KO : Le montant retenu est supérieur au montant présenté. Merci de revoir la ligne de contributions ou plafonner son montant.",
ROUND(IFERROR(VALUE(TRIM(SUBSTITUTE(F19,CHAR(160),""))),0),2)=0,
"",
ROUND(IFERROR(VALUE(TRIM(SUBSTITUTE(L19,CHAR(160),""))),0),2)=
ROUND(IFERROR(VALUE(TRIM(SUBSTITUTE(F19,CHAR(160),""))),0),2),
"OK",
ROUND(IFERROR(VALUE(TRIM(SUBSTITUTE(L19,CHAR(160),""))),0),2)=0,
"Attention : Montant présenté entièrement rejeté.",
ROUND(IFERROR(VALUE(TRIM(SUBSTITUTE(L19,CHAR(160),""))),0),2)&lt;
ROUND(IFERROR(VALUE(TRIM(SUBSTITUTE(F19,CHAR(160),""))),0),2),
"Attention : Montant présenté partiellement rejeté.",
TRUE,""
))</f>
        <v/>
      </c>
      <c r="O19" s="218" t="str">
        <f t="shared" si="6"/>
        <v/>
      </c>
    </row>
    <row r="20" spans="1:15" s="1" customFormat="1" ht="15" customHeight="1">
      <c r="A20" s="175">
        <v>16</v>
      </c>
      <c r="B20" s="7"/>
      <c r="C20" s="40"/>
      <c r="D20" s="38"/>
      <c r="E20" s="38"/>
      <c r="F20" s="275" t="str">
        <f t="shared" si="0"/>
        <v/>
      </c>
      <c r="G20" s="176"/>
      <c r="H20" s="223" t="str">
        <f t="shared" si="1"/>
        <v/>
      </c>
      <c r="I20" s="162" t="str">
        <f t="shared" si="2"/>
        <v/>
      </c>
      <c r="J20" s="224" t="str">
        <f t="shared" si="3"/>
        <v/>
      </c>
      <c r="K20" s="224" t="str">
        <f t="shared" si="4"/>
        <v/>
      </c>
      <c r="L20" s="307" t="str">
        <f t="shared" si="5"/>
        <v/>
      </c>
      <c r="M20" s="38"/>
      <c r="N20" s="23" t="str" cm="1">
        <f t="array" ref="N20">IF(OR(L20="",F20=""),"",_xlfn.IFS(
ROUND(IFERROR(VALUE(TRIM(SUBSTITUTE(L20,CHAR(160),""))),0),2)&gt;
ROUND(IFERROR(VALUE(TRIM(SUBSTITUTE(F20,CHAR(160),""))),0),2),
"KO : Le montant retenu est supérieur au montant présenté. Merci de revoir la ligne de contributions ou plafonner son montant.",
ROUND(IFERROR(VALUE(TRIM(SUBSTITUTE(F20,CHAR(160),""))),0),2)=0,
"",
ROUND(IFERROR(VALUE(TRIM(SUBSTITUTE(L20,CHAR(160),""))),0),2)=
ROUND(IFERROR(VALUE(TRIM(SUBSTITUTE(F20,CHAR(160),""))),0),2),
"OK",
ROUND(IFERROR(VALUE(TRIM(SUBSTITUTE(L20,CHAR(160),""))),0),2)=0,
"Attention : Montant présenté entièrement rejeté.",
ROUND(IFERROR(VALUE(TRIM(SUBSTITUTE(L20,CHAR(160),""))),0),2)&lt;
ROUND(IFERROR(VALUE(TRIM(SUBSTITUTE(F20,CHAR(160),""))),0),2),
"Attention : Montant présenté partiellement rejeté.",
TRUE,""
))</f>
        <v/>
      </c>
      <c r="O20" s="218" t="str">
        <f t="shared" si="6"/>
        <v/>
      </c>
    </row>
    <row r="21" spans="1:15" s="1" customFormat="1" ht="15" customHeight="1">
      <c r="A21" s="175">
        <v>17</v>
      </c>
      <c r="B21" s="7"/>
      <c r="C21" s="40"/>
      <c r="D21" s="38"/>
      <c r="E21" s="38"/>
      <c r="F21" s="275" t="str">
        <f t="shared" si="0"/>
        <v/>
      </c>
      <c r="G21" s="176"/>
      <c r="H21" s="223" t="str">
        <f t="shared" si="1"/>
        <v/>
      </c>
      <c r="I21" s="162" t="str">
        <f t="shared" si="2"/>
        <v/>
      </c>
      <c r="J21" s="224" t="str">
        <f t="shared" si="3"/>
        <v/>
      </c>
      <c r="K21" s="224" t="str">
        <f t="shared" si="4"/>
        <v/>
      </c>
      <c r="L21" s="307" t="str">
        <f t="shared" si="5"/>
        <v/>
      </c>
      <c r="M21" s="38"/>
      <c r="N21" s="23" t="str" cm="1">
        <f t="array" ref="N21">IF(OR(L21="",F21=""),"",_xlfn.IFS(
ROUND(IFERROR(VALUE(TRIM(SUBSTITUTE(L21,CHAR(160),""))),0),2)&gt;
ROUND(IFERROR(VALUE(TRIM(SUBSTITUTE(F21,CHAR(160),""))),0),2),
"KO : Le montant retenu est supérieur au montant présenté. Merci de revoir la ligne de contributions ou plafonner son montant.",
ROUND(IFERROR(VALUE(TRIM(SUBSTITUTE(F21,CHAR(160),""))),0),2)=0,
"",
ROUND(IFERROR(VALUE(TRIM(SUBSTITUTE(L21,CHAR(160),""))),0),2)=
ROUND(IFERROR(VALUE(TRIM(SUBSTITUTE(F21,CHAR(160),""))),0),2),
"OK",
ROUND(IFERROR(VALUE(TRIM(SUBSTITUTE(L21,CHAR(160),""))),0),2)=0,
"Attention : Montant présenté entièrement rejeté.",
ROUND(IFERROR(VALUE(TRIM(SUBSTITUTE(L21,CHAR(160),""))),0),2)&lt;
ROUND(IFERROR(VALUE(TRIM(SUBSTITUTE(F21,CHAR(160),""))),0),2),
"Attention : Montant présenté partiellement rejeté.",
TRUE,""
))</f>
        <v/>
      </c>
      <c r="O21" s="218" t="str">
        <f t="shared" si="6"/>
        <v/>
      </c>
    </row>
    <row r="22" spans="1:15" s="1" customFormat="1" ht="15" customHeight="1">
      <c r="A22" s="175">
        <v>18</v>
      </c>
      <c r="B22" s="7"/>
      <c r="C22" s="40"/>
      <c r="D22" s="38"/>
      <c r="E22" s="38"/>
      <c r="F22" s="275" t="str">
        <f t="shared" si="0"/>
        <v/>
      </c>
      <c r="G22" s="176"/>
      <c r="H22" s="223" t="str">
        <f t="shared" si="1"/>
        <v/>
      </c>
      <c r="I22" s="162" t="str">
        <f t="shared" si="2"/>
        <v/>
      </c>
      <c r="J22" s="224" t="str">
        <f t="shared" si="3"/>
        <v/>
      </c>
      <c r="K22" s="224" t="str">
        <f t="shared" si="4"/>
        <v/>
      </c>
      <c r="L22" s="307" t="str">
        <f t="shared" si="5"/>
        <v/>
      </c>
      <c r="M22" s="38"/>
      <c r="N22" s="23" t="str" cm="1">
        <f t="array" ref="N22">IF(OR(L22="",F22=""),"",_xlfn.IFS(
ROUND(IFERROR(VALUE(TRIM(SUBSTITUTE(L22,CHAR(160),""))),0),2)&gt;
ROUND(IFERROR(VALUE(TRIM(SUBSTITUTE(F22,CHAR(160),""))),0),2),
"KO : Le montant retenu est supérieur au montant présenté. Merci de revoir la ligne de contributions ou plafonner son montant.",
ROUND(IFERROR(VALUE(TRIM(SUBSTITUTE(F22,CHAR(160),""))),0),2)=0,
"",
ROUND(IFERROR(VALUE(TRIM(SUBSTITUTE(L22,CHAR(160),""))),0),2)=
ROUND(IFERROR(VALUE(TRIM(SUBSTITUTE(F22,CHAR(160),""))),0),2),
"OK",
ROUND(IFERROR(VALUE(TRIM(SUBSTITUTE(L22,CHAR(160),""))),0),2)=0,
"Attention : Montant présenté entièrement rejeté.",
ROUND(IFERROR(VALUE(TRIM(SUBSTITUTE(L22,CHAR(160),""))),0),2)&lt;
ROUND(IFERROR(VALUE(TRIM(SUBSTITUTE(F22,CHAR(160),""))),0),2),
"Attention : Montant présenté partiellement rejeté.",
TRUE,""
))</f>
        <v/>
      </c>
      <c r="O22" s="218" t="str">
        <f t="shared" si="6"/>
        <v/>
      </c>
    </row>
    <row r="23" spans="1:15" s="1" customFormat="1" ht="15" customHeight="1">
      <c r="A23" s="175">
        <v>19</v>
      </c>
      <c r="B23" s="7"/>
      <c r="C23" s="40"/>
      <c r="D23" s="38"/>
      <c r="E23" s="38"/>
      <c r="F23" s="275" t="str">
        <f t="shared" si="0"/>
        <v/>
      </c>
      <c r="G23" s="176"/>
      <c r="H23" s="223" t="str">
        <f t="shared" si="1"/>
        <v/>
      </c>
      <c r="I23" s="162" t="str">
        <f t="shared" si="2"/>
        <v/>
      </c>
      <c r="J23" s="224" t="str">
        <f t="shared" si="3"/>
        <v/>
      </c>
      <c r="K23" s="224" t="str">
        <f t="shared" si="4"/>
        <v/>
      </c>
      <c r="L23" s="307" t="str">
        <f t="shared" si="5"/>
        <v/>
      </c>
      <c r="M23" s="38"/>
      <c r="N23" s="23" t="str" cm="1">
        <f t="array" ref="N23">IF(OR(L23="",F23=""),"",_xlfn.IFS(
ROUND(IFERROR(VALUE(TRIM(SUBSTITUTE(L23,CHAR(160),""))),0),2)&gt;
ROUND(IFERROR(VALUE(TRIM(SUBSTITUTE(F23,CHAR(160),""))),0),2),
"KO : Le montant retenu est supérieur au montant présenté. Merci de revoir la ligne de contributions ou plafonner son montant.",
ROUND(IFERROR(VALUE(TRIM(SUBSTITUTE(F23,CHAR(160),""))),0),2)=0,
"",
ROUND(IFERROR(VALUE(TRIM(SUBSTITUTE(L23,CHAR(160),""))),0),2)=
ROUND(IFERROR(VALUE(TRIM(SUBSTITUTE(F23,CHAR(160),""))),0),2),
"OK",
ROUND(IFERROR(VALUE(TRIM(SUBSTITUTE(L23,CHAR(160),""))),0),2)=0,
"Attention : Montant présenté entièrement rejeté.",
ROUND(IFERROR(VALUE(TRIM(SUBSTITUTE(L23,CHAR(160),""))),0),2)&lt;
ROUND(IFERROR(VALUE(TRIM(SUBSTITUTE(F23,CHAR(160),""))),0),2),
"Attention : Montant présenté partiellement rejeté.",
TRUE,""
))</f>
        <v/>
      </c>
      <c r="O23" s="218" t="str">
        <f t="shared" si="6"/>
        <v/>
      </c>
    </row>
    <row r="24" spans="1:15" s="1" customFormat="1" ht="15" customHeight="1">
      <c r="A24" s="175">
        <v>20</v>
      </c>
      <c r="B24" s="7"/>
      <c r="C24" s="40"/>
      <c r="D24" s="38"/>
      <c r="E24" s="38"/>
      <c r="F24" s="275" t="str">
        <f t="shared" si="0"/>
        <v/>
      </c>
      <c r="G24" s="176"/>
      <c r="H24" s="223" t="str">
        <f t="shared" si="1"/>
        <v/>
      </c>
      <c r="I24" s="162" t="str">
        <f t="shared" si="2"/>
        <v/>
      </c>
      <c r="J24" s="224" t="str">
        <f t="shared" si="3"/>
        <v/>
      </c>
      <c r="K24" s="224" t="str">
        <f t="shared" si="4"/>
        <v/>
      </c>
      <c r="L24" s="307" t="str">
        <f t="shared" si="5"/>
        <v/>
      </c>
      <c r="M24" s="604"/>
      <c r="N24" s="23" t="str" cm="1">
        <f t="array" ref="N24">IF(OR(L24="",F24=""),"",_xlfn.IFS(
ROUND(IFERROR(VALUE(TRIM(SUBSTITUTE(L24,CHAR(160),""))),0),2)&gt;
ROUND(IFERROR(VALUE(TRIM(SUBSTITUTE(F24,CHAR(160),""))),0),2),
"KO : Le montant retenu est supérieur au montant présenté. Merci de revoir la ligne de contributions ou plafonner son montant.",
ROUND(IFERROR(VALUE(TRIM(SUBSTITUTE(F24,CHAR(160),""))),0),2)=0,
"",
ROUND(IFERROR(VALUE(TRIM(SUBSTITUTE(L24,CHAR(160),""))),0),2)=
ROUND(IFERROR(VALUE(TRIM(SUBSTITUTE(F24,CHAR(160),""))),0),2),
"OK",
ROUND(IFERROR(VALUE(TRIM(SUBSTITUTE(L24,CHAR(160),""))),0),2)=0,
"Attention : Montant présenté entièrement rejeté.",
ROUND(IFERROR(VALUE(TRIM(SUBSTITUTE(L24,CHAR(160),""))),0),2)&lt;
ROUND(IFERROR(VALUE(TRIM(SUBSTITUTE(F24,CHAR(160),""))),0),2),
"Attention : Montant présenté partiellement rejeté.",
TRUE,""
))</f>
        <v/>
      </c>
      <c r="O24" s="218" t="str">
        <f t="shared" si="6"/>
        <v/>
      </c>
    </row>
    <row r="25" spans="1:15" ht="15.95" thickBot="1">
      <c r="A25" s="177"/>
      <c r="B25" s="178"/>
      <c r="C25" s="178"/>
      <c r="D25" s="178"/>
      <c r="E25" s="216" t="s">
        <v>137</v>
      </c>
      <c r="F25" s="217">
        <f>SUM(F5:F24)</f>
        <v>0</v>
      </c>
      <c r="G25" s="181"/>
      <c r="H25" s="177"/>
      <c r="I25" s="178"/>
      <c r="J25" s="225"/>
      <c r="K25" s="221" t="s">
        <v>138</v>
      </c>
      <c r="L25" s="180">
        <f>SUM(L5:L24)</f>
        <v>0</v>
      </c>
      <c r="M25" s="178"/>
      <c r="N25" s="178"/>
      <c r="O25" s="222">
        <f>SUM(O5:O24)</f>
        <v>0</v>
      </c>
    </row>
  </sheetData>
  <sheetProtection formatCells="0" formatColumns="0" formatRows="0" insertRows="0"/>
  <mergeCells count="3">
    <mergeCell ref="A1:G1"/>
    <mergeCell ref="H1:O1"/>
    <mergeCell ref="A2:A3"/>
  </mergeCells>
  <conditionalFormatting sqref="H5:K24">
    <cfRule type="expression" dxfId="34" priority="1">
      <formula>H5&lt;&gt;B5</formula>
    </cfRule>
  </conditionalFormatting>
  <conditionalFormatting sqref="N4:N24">
    <cfRule type="containsText" dxfId="33" priority="3" operator="containsText" text="OK">
      <formula>NOT(ISERROR(SEARCH("OK",N4)))</formula>
    </cfRule>
    <cfRule type="containsText" dxfId="32" priority="4" operator="containsText" text="KO">
      <formula>NOT(ISERROR(SEARCH("KO",N4)))</formula>
    </cfRule>
    <cfRule type="containsText" dxfId="31" priority="5" operator="containsText" text="Attention">
      <formula>NOT(ISERROR(SEARCH("Attention",N4)))</formula>
    </cfRule>
  </conditionalFormatting>
  <dataValidations count="3">
    <dataValidation type="list" allowBlank="1" showInputMessage="1" showErrorMessage="1" sqref="D5:D24 J4:J24" xr:uid="{5F27EC46-3C27-4FCA-BD76-FCE758E9E809}">
      <formula1>"OUI,NON"</formula1>
    </dataValidation>
    <dataValidation type="list" allowBlank="1" showInputMessage="1" showErrorMessage="1" sqref="E5:E24 K4:K24" xr:uid="{8AA907C5-94A8-4CF9-85A0-2F1FB38202A1}">
      <formula1>"Simple,Double"</formula1>
    </dataValidation>
    <dataValidation allowBlank="1" showErrorMessage="1" promptTitle="Sélectionnez un type d'action" sqref="C5:C24" xr:uid="{93739B07-A47E-437C-AEB4-0EB4A6B93D76}"/>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0E5EDE4C-B108-490D-91D6-DA1F5622AEAF}">
          <x14:formula1>
            <xm:f>'0-Présentation typeaction'!$H$6</xm:f>
          </x14:formula1>
          <xm:sqref>B4:B24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55BC6622D4D3044B5F03EF32EF287AB" ma:contentTypeVersion="3" ma:contentTypeDescription="Crée un document." ma:contentTypeScope="" ma:versionID="e1330b9de1375b326057c3a8aeaf868e">
  <xsd:schema xmlns:xsd="http://www.w3.org/2001/XMLSchema" xmlns:xs="http://www.w3.org/2001/XMLSchema" xmlns:p="http://schemas.microsoft.com/office/2006/metadata/properties" xmlns:ns2="0b8e6916-39b9-4c82-9c12-8043b10c916e" targetNamespace="http://schemas.microsoft.com/office/2006/metadata/properties" ma:root="true" ma:fieldsID="8454b988a8205f955500a2698dad9c41" ns2:_="">
    <xsd:import namespace="0b8e6916-39b9-4c82-9c12-8043b10c916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b8e6916-39b9-4c82-9c12-8043b10c91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0D26ED7-CD7E-4BFC-8B70-DECD4F5BF41F}"/>
</file>

<file path=customXml/itemProps2.xml><?xml version="1.0" encoding="utf-8"?>
<ds:datastoreItem xmlns:ds="http://schemas.openxmlformats.org/officeDocument/2006/customXml" ds:itemID="{A7EABB18-8801-4A7F-ACB2-C4B6014BC85D}"/>
</file>

<file path=customXml/itemProps3.xml><?xml version="1.0" encoding="utf-8"?>
<ds:datastoreItem xmlns:ds="http://schemas.openxmlformats.org/officeDocument/2006/customXml" ds:itemID="{D4BF93EC-1DED-4D0C-BCD8-4816FDF34A1E}"/>
</file>

<file path=docProps/app.xml><?xml version="1.0" encoding="utf-8"?>
<Properties xmlns="http://schemas.openxmlformats.org/officeDocument/2006/extended-properties" xmlns:vt="http://schemas.openxmlformats.org/officeDocument/2006/docPropsVTypes">
  <Application>Microsoft Excel Online</Application>
  <Manager/>
  <Company>RLR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
  <cp:revision/>
  <dcterms:created xsi:type="dcterms:W3CDTF">2017-03-15T07:49:35Z</dcterms:created>
  <dcterms:modified xsi:type="dcterms:W3CDTF">2026-05-05T19:58:27Z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0x010100C55BC6622D4D3044B5F03EF32EF287AB</vt:lpwstr>
  </property>
  <property fmtid="{D5CDD505-2E9C-101B-9397-08002B2CF9AE}" pid="3" name="MediaServiceImageTags">
    <vt:lpwstr/>
  </property>
</Properties>
</file>